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90" windowHeight="6525" tabRatio="863" firstSheet="14" activeTab="18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 .sz.m. Létszám (2)" sheetId="8" r:id="rId8"/>
    <sheet name="7.a.sz.m.fejlesztés (4)" sheetId="9" r:id="rId9"/>
    <sheet name="7.b.sz.m.intfejl (2)" sheetId="10" r:id="rId10"/>
    <sheet name="8.sz.m.Dologi kiadás (3)" sheetId="11" r:id="rId11"/>
    <sheet name="9.sz.m.szociális kiadások (2)" sheetId="12" r:id="rId12"/>
    <sheet name="10.sz.m.átadott pe (3)" sheetId="13" r:id="rId13"/>
    <sheet name="11. sz adósság kötelezettség" sheetId="14" r:id="rId14"/>
    <sheet name="12. saját bevételek" sheetId="15" r:id="rId15"/>
    <sheet name="13. sz.m. előir felh terv" sheetId="16" r:id="rId16"/>
    <sheet name="14.sz.m. állami támogatás " sheetId="17" r:id="rId17"/>
    <sheet name="15.sz.m.többéves kihatás" sheetId="18" r:id="rId18"/>
    <sheet name="16. sz. m. EU " sheetId="19" r:id="rId19"/>
    <sheet name="üres lap" sheetId="20" r:id="rId20"/>
  </sheets>
  <externalReferences>
    <externalReference r:id="rId23"/>
  </externalReferences>
  <definedNames>
    <definedName name="_xlfn.IFERROR" hidden="1">#NAME?</definedName>
    <definedName name="_xlnm.Print_Area" localSheetId="1">'1 .sz.m.önk.össz.kiad.'!$A$1:$AD$66</definedName>
    <definedName name="_xlnm.Print_Area" localSheetId="0">'1.sz.m-önk.össze.bev'!$A$1:$X$64</definedName>
    <definedName name="_xlnm.Print_Area" localSheetId="12">'10.sz.m.átadott pe (3)'!$A$1:$AB$115</definedName>
    <definedName name="_xlnm.Print_Area" localSheetId="13">'11. sz adósság kötelezettség'!$A$1:$F$25</definedName>
    <definedName name="_xlnm.Print_Area" localSheetId="15">'13. sz.m. előir felh terv'!$A$1:$O$22</definedName>
    <definedName name="_xlnm.Print_Area" localSheetId="2">'2.sz.m.összehasonlító'!$A$1:$N$32</definedName>
    <definedName name="_xlnm.Print_Area" localSheetId="3">'3.sz.m Önk  bev.'!$A$1:$Y$62</definedName>
    <definedName name="_xlnm.Print_Area" localSheetId="4">'4.sz.m.ÖNK kiadás'!$A$1:$Y$39</definedName>
    <definedName name="_xlnm.Print_Area" localSheetId="5">'5.1 sz. m Köz Hiv'!$A$1:$AE$52</definedName>
    <definedName name="_xlnm.Print_Area" localSheetId="6">'5.2 sz. m ÁMK'!$A$1:$U$56</definedName>
    <definedName name="_xlnm.Print_Area" localSheetId="7">'6 .sz.m. Létszám (2)'!$A$1:$I$16</definedName>
    <definedName name="_xlnm.Print_Area" localSheetId="8">'7.a.sz.m.fejlesztés (4)'!$A$1:$Z$52</definedName>
    <definedName name="_xlnm.Print_Area" localSheetId="9">'7.b.sz.m.intfejl (2)'!$A$1:$J$37</definedName>
    <definedName name="_xlnm.Print_Area" localSheetId="10">'8.sz.m.Dologi kiadás (3)'!$A$1:$X$42</definedName>
    <definedName name="_xlnm.Print_Area" localSheetId="11">'9.sz.m.szociális kiadások (2)'!$A$1:$X$36</definedName>
    <definedName name="_xlnm.Print_Area" localSheetId="19">'üres lap'!$A$1:$R$44</definedName>
  </definedNames>
  <calcPr fullCalcOnLoad="1"/>
</workbook>
</file>

<file path=xl/sharedStrings.xml><?xml version="1.0" encoding="utf-8"?>
<sst xmlns="http://schemas.openxmlformats.org/spreadsheetml/2006/main" count="1706" uniqueCount="729">
  <si>
    <t>Személyi juttatások</t>
  </si>
  <si>
    <t>Összesen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</si>
  <si>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</si>
  <si>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</si>
  <si>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</si>
  <si>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</si>
  <si>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</si>
  <si>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</si>
  <si>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</si>
  <si>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</si>
  <si>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</si>
  <si>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</si>
  <si>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</si>
  <si>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</si>
  <si>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</si>
  <si>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</si>
  <si>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>Intézmény</t>
  </si>
  <si>
    <t>Felújítás/beruházás</t>
  </si>
  <si>
    <t>Cím</t>
  </si>
  <si>
    <t>Önkormányzati bevételek és kiadások mérlege</t>
  </si>
  <si>
    <t>Összesen:</t>
  </si>
  <si>
    <t>Államháztartáson kívülre</t>
  </si>
  <si>
    <t>Működési célú</t>
  </si>
  <si>
    <t xml:space="preserve">Felhalmozási célú </t>
  </si>
  <si>
    <t>Mindösszesen: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</si>
  <si>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</si>
  <si>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</si>
  <si>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</si>
  <si>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</si>
  <si>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</si>
  <si>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</si>
  <si>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</si>
  <si>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</si>
  <si>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</si>
  <si>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</si>
  <si>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</si>
  <si>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</si>
  <si>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</si>
  <si>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</si>
  <si>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</si>
  <si>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</si>
  <si>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</si>
  <si>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</si>
  <si>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</si>
  <si>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</si>
  <si>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</si>
  <si>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</si>
  <si>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</si>
  <si>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</si>
  <si>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</si>
  <si>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</si>
  <si>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</si>
  <si>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</si>
  <si>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</si>
  <si>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</si>
  <si>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 xml:space="preserve">KÖLTSÉGVETÉSI SZERVEK FELHALMOZÁSI KIADÁSAI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</si>
  <si>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</si>
  <si>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</si>
  <si>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</si>
  <si>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</si>
  <si>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</si>
  <si>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</si>
  <si>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</si>
  <si>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</si>
  <si>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</si>
  <si>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</si>
  <si>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</si>
  <si>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</si>
  <si>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</si>
  <si>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</si>
  <si>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</si>
  <si>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</si>
  <si>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</si>
  <si>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</si>
  <si>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</si>
  <si>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</si>
  <si>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</si>
  <si>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</si>
  <si>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</si>
  <si>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</si>
  <si>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</si>
  <si>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</si>
  <si>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</si>
  <si>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</si>
  <si>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</si>
  <si>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</si>
  <si>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</si>
  <si>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</si>
  <si>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</si>
  <si>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</si>
  <si>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</si>
  <si>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</si>
  <si>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</si>
  <si>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</si>
  <si>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</si>
  <si>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</si>
  <si>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</si>
  <si>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</si>
  <si>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</si>
  <si>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</si>
  <si>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</si>
  <si>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</si>
  <si>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</si>
  <si>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</si>
  <si>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</si>
  <si>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</si>
  <si>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</si>
  <si>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</si>
  <si>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</si>
  <si>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</si>
  <si>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</si>
  <si>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</si>
  <si>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</si>
  <si>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</si>
  <si>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</si>
  <si>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</si>
  <si>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</si>
  <si>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</si>
  <si>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</si>
  <si>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</si>
  <si>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</si>
  <si>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</si>
  <si>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</si>
  <si>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</si>
  <si>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</si>
  <si>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</si>
  <si>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</si>
  <si>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</si>
  <si>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</si>
  <si>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</si>
  <si>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</si>
  <si>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</si>
  <si>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</si>
  <si>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</si>
  <si>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</si>
  <si>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</si>
  <si>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</si>
  <si>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</si>
  <si>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</si>
  <si>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</si>
  <si>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</si>
  <si>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</si>
  <si>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</si>
  <si>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</si>
  <si>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</si>
  <si>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</si>
  <si>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</si>
  <si>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</si>
  <si>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</si>
  <si>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</si>
  <si>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</si>
  <si>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</si>
  <si>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</si>
  <si>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</si>
  <si>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</si>
  <si>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</si>
  <si>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</si>
  <si>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</si>
  <si>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</si>
  <si>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</si>
  <si>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 xml:space="preserve">     1.1.1.</t>
  </si>
  <si>
    <t xml:space="preserve">     1.1.2.</t>
  </si>
  <si>
    <t xml:space="preserve"> 1.2.</t>
  </si>
  <si>
    <t xml:space="preserve">   1.2.1.</t>
  </si>
  <si>
    <t xml:space="preserve">   1.2.2.</t>
  </si>
  <si>
    <t>Hiány külső finanszírozása (hitel)</t>
  </si>
  <si>
    <t>Működési bevételek összesen</t>
  </si>
  <si>
    <t>Működési kiadások összesen</t>
  </si>
  <si>
    <t>1. Felhalmozási támogatások államháztartáson belülről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</si>
  <si>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</si>
  <si>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</si>
  <si>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</si>
  <si>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</si>
  <si>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</si>
  <si>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</si>
  <si>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</si>
  <si>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</si>
  <si>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</si>
  <si>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</si>
  <si>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</si>
  <si>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</si>
  <si>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</si>
  <si>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</si>
  <si>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</si>
  <si>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</si>
  <si>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</si>
  <si>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</si>
  <si>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</si>
  <si>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</si>
  <si>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</si>
  <si>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</si>
  <si>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</si>
  <si>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</si>
  <si>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</si>
  <si>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</si>
  <si>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</si>
  <si>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6.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</si>
  <si>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</si>
  <si>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</si>
  <si>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</si>
  <si>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</si>
  <si>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</si>
  <si>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</si>
  <si>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</si>
  <si>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</si>
  <si>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</si>
  <si>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Ö</t>
  </si>
  <si>
    <t>K</t>
  </si>
  <si>
    <t>2.3.4</t>
  </si>
  <si>
    <t>Befektetési célú részesedések</t>
  </si>
  <si>
    <t>V. Finanszírozási kiadások</t>
  </si>
  <si>
    <t>* A közös hivatal önként vállalt feladatot nem lát el</t>
  </si>
  <si>
    <t xml:space="preserve">Közös Hivatal  </t>
  </si>
  <si>
    <t>Önkormányzat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</si>
  <si>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</si>
  <si>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</si>
  <si>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</si>
  <si>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</si>
  <si>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</si>
  <si>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Beledi Közös Önkormányzati Hivatal*</t>
  </si>
  <si>
    <t>Államháztartáson belülre</t>
  </si>
  <si>
    <t>4. számú melléklet 1.5.3 és 2.3.2 sorainak részletezése</t>
  </si>
  <si>
    <t>Közigazgatási Kar.</t>
  </si>
  <si>
    <t>KÖSZ</t>
  </si>
  <si>
    <t>TÖOSZ</t>
  </si>
  <si>
    <t>mód. I.</t>
  </si>
  <si>
    <t>Mód. I.</t>
  </si>
  <si>
    <t>eredeti</t>
  </si>
  <si>
    <t>Eredeti ei.</t>
  </si>
  <si>
    <t>Mód. II.</t>
  </si>
  <si>
    <t>mód. II.</t>
  </si>
  <si>
    <t>Mód. III.</t>
  </si>
  <si>
    <t>mód. III.</t>
  </si>
  <si>
    <t>III. Tartalék</t>
  </si>
  <si>
    <t>Teljesítés</t>
  </si>
  <si>
    <t>Telj. %</t>
  </si>
  <si>
    <t>Költségvetési és finanszírozási kiadások</t>
  </si>
  <si>
    <t>Függő, átfutó, kiegyenlítő kiadások</t>
  </si>
  <si>
    <t>Függő, átfutó, kiegyenlítő bevételek</t>
  </si>
  <si>
    <t>Rábaköz Vidékfejlesztési Egyesület tagdíj</t>
  </si>
  <si>
    <t>Telj.</t>
  </si>
  <si>
    <t xml:space="preserve"> </t>
  </si>
  <si>
    <t>Függő, átfutó, kiegyenlítő bevételelk</t>
  </si>
  <si>
    <t>Mód. IV.</t>
  </si>
  <si>
    <t>Eredeti, Mód. I, II., III., I.</t>
  </si>
  <si>
    <t>0</t>
  </si>
  <si>
    <t>Sor-szám</t>
  </si>
  <si>
    <t>Mód V.</t>
  </si>
  <si>
    <t>Mód. V.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</si>
  <si>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</si>
  <si>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</si>
  <si>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</si>
  <si>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</si>
  <si>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</si>
  <si>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</si>
  <si>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</si>
  <si>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</si>
  <si>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</si>
  <si>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 xml:space="preserve">II.1 Óvodapedagógusok  és a nevelőmunkát közvetlenül támogatók bértámogatása </t>
  </si>
  <si>
    <t>II.2 Óvodaműködtetési támogatás</t>
  </si>
  <si>
    <t>III.1. Egyes jövedelempótló támogatások (Évközben igényelt)</t>
  </si>
  <si>
    <t>III.2. Hozzájárulás a pénzbeli szociális ellátásokhoz</t>
  </si>
  <si>
    <t xml:space="preserve">       ebből: Társulási kiegészítés</t>
  </si>
  <si>
    <t>III.3 Egyes szociális és gyermekjóléti feladatok támogatás</t>
  </si>
  <si>
    <t>Lakott külterület támogatás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</si>
  <si>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</si>
  <si>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</si>
  <si>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</si>
  <si>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</si>
  <si>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</si>
  <si>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</si>
  <si>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</si>
  <si>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</si>
  <si>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</si>
  <si>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</si>
  <si>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</si>
  <si>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</si>
  <si>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</si>
  <si>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</si>
  <si>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</si>
  <si>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</si>
  <si>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</si>
  <si>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</si>
  <si>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</si>
  <si>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</si>
  <si>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</si>
  <si>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</si>
  <si>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</si>
  <si>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</si>
  <si>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</si>
  <si>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</si>
  <si>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</si>
  <si>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</si>
  <si>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</si>
  <si>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</si>
  <si>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</si>
  <si>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</si>
  <si>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</si>
  <si>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</si>
  <si>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</si>
  <si>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</si>
  <si>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</si>
  <si>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</si>
  <si>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</si>
  <si>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</si>
  <si>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Kiszámlázott ÁFA</t>
  </si>
  <si>
    <t>2.5</t>
  </si>
  <si>
    <t>2.6</t>
  </si>
  <si>
    <t>Kamatbevételek</t>
  </si>
  <si>
    <t>III. Működési célú támogatások államháztartáson belülről</t>
  </si>
  <si>
    <t>Önkormányzatok működési támogatása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</si>
  <si>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</si>
  <si>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</si>
  <si>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</si>
  <si>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</si>
  <si>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</si>
  <si>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</si>
  <si>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</si>
  <si>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</si>
  <si>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</si>
  <si>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</si>
  <si>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</si>
  <si>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</si>
  <si>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</si>
  <si>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</si>
  <si>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</si>
  <si>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</si>
  <si>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</si>
  <si>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</si>
  <si>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</si>
  <si>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</si>
  <si>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</si>
  <si>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</si>
  <si>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I. Intézményi működési bevételek</t>
  </si>
  <si>
    <t xml:space="preserve">I. Intézményi működési bevételek </t>
  </si>
  <si>
    <t>Beledi Közös Önkormányzati Hiatal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</si>
  <si>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</si>
  <si>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</si>
  <si>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</si>
  <si>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</si>
  <si>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</si>
  <si>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3. Települési önkormányzatok szociális és gyermekjóléti feladatainak támogatása</t>
  </si>
  <si>
    <t>4. Önkormányzatok kulturális feladat támogatása</t>
  </si>
  <si>
    <t>4.3</t>
  </si>
  <si>
    <t>ebből: kisértékű eszköz beszerzése</t>
  </si>
  <si>
    <t>Telj.%</t>
  </si>
  <si>
    <t>3.5</t>
  </si>
  <si>
    <t>3.5.1</t>
  </si>
  <si>
    <t>3.5.2</t>
  </si>
  <si>
    <t>3.5.3</t>
  </si>
  <si>
    <t>Helyi önkormányzatok kiegészítő támogatása</t>
  </si>
  <si>
    <t>ebből: Vicai Kat.Egyház</t>
  </si>
  <si>
    <t>Vicai Ifjúsági Egyesület</t>
  </si>
  <si>
    <t>Delta Testépítő Klub</t>
  </si>
  <si>
    <t>Tégy a Tehetségért Alapítvány</t>
  </si>
  <si>
    <t>Beledi Ifjúsági Egyesület</t>
  </si>
  <si>
    <t>Beledi Evangélikus Egyház</t>
  </si>
  <si>
    <t>Beled Jövőjéért Egyesület</t>
  </si>
  <si>
    <t>Önkormányzat dologi kiadásai</t>
  </si>
  <si>
    <t>4. számú melléklet 1.3 sorának részletezése</t>
  </si>
  <si>
    <t xml:space="preserve">Kötelező </t>
  </si>
  <si>
    <t>Önként vállalt</t>
  </si>
  <si>
    <t>Önkormányzatok jogalkotó és általános igazgatási feladatok</t>
  </si>
  <si>
    <t>Közutak üzemeltetése, fenntartása</t>
  </si>
  <si>
    <t>Egyéb szárazföldi személyszállítás</t>
  </si>
  <si>
    <t>Közvilágítási feladatok</t>
  </si>
  <si>
    <t>Város- és községgazdálkodás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</si>
  <si>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</si>
  <si>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</si>
  <si>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</si>
  <si>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</si>
  <si>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</si>
  <si>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</si>
  <si>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</si>
  <si>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</si>
  <si>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</si>
  <si>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</si>
  <si>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</si>
  <si>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</si>
  <si>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</si>
  <si>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</si>
  <si>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</si>
  <si>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</si>
  <si>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</si>
  <si>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</si>
  <si>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</si>
  <si>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</si>
  <si>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Értékesítési és forgalmi adók</t>
  </si>
  <si>
    <t>Egyéb áruhasználati és szolgáltatási adók</t>
  </si>
  <si>
    <t>Tulajdonosi bevételek</t>
  </si>
  <si>
    <t>SAJÁT BEVÉTELEK ÖSSZESEN</t>
  </si>
  <si>
    <t>Zöldterület kezelése</t>
  </si>
  <si>
    <t>11. számú melléklet</t>
  </si>
  <si>
    <t>teljesítés</t>
  </si>
  <si>
    <t>Önkormányzat adósságot keletkeztető ügyletekből és kezességvállalásokból fennálló kötelezettségei</t>
  </si>
  <si>
    <t>MEGNEVEZÉS</t>
  </si>
  <si>
    <t>Évek</t>
  </si>
  <si>
    <t>10.</t>
  </si>
  <si>
    <t>ÖSSZES KÖTELEZETTSÉG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</si>
  <si>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</si>
  <si>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</si>
  <si>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</si>
  <si>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</si>
  <si>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</si>
  <si>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</si>
  <si>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</si>
  <si>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</si>
  <si>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</si>
  <si>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</si>
  <si>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</si>
  <si>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</si>
  <si>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</si>
  <si>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Működési bevételek</t>
  </si>
  <si>
    <t>Felhalmozási célú támogatások állalmháztartáson belülről</t>
  </si>
  <si>
    <t>Átett pénzeszközök államháztartáson kívülről</t>
  </si>
  <si>
    <t>Felhalmozási bevételek</t>
  </si>
  <si>
    <t>Finanszírozási bevételek</t>
  </si>
  <si>
    <t>Bevételek összesen:</t>
  </si>
  <si>
    <t>11.</t>
  </si>
  <si>
    <t>12.</t>
  </si>
  <si>
    <t>Működési kiadások</t>
  </si>
  <si>
    <t>13.</t>
  </si>
  <si>
    <t>Felhalmozási költségvetési kiadások</t>
  </si>
  <si>
    <t>14.</t>
  </si>
  <si>
    <t>Tartalékok felhasználása</t>
  </si>
  <si>
    <t>15.</t>
  </si>
  <si>
    <t>Finanszírozási célú kiadások</t>
  </si>
  <si>
    <t>Kiadások összesen:</t>
  </si>
  <si>
    <t>Egyenleg</t>
  </si>
  <si>
    <t>ÁH belüli megelőlegezések visszafizetései</t>
  </si>
  <si>
    <t>6.3</t>
  </si>
  <si>
    <t>Beled Ált.Isk.Diákönk.</t>
  </si>
  <si>
    <t>Lövészklub (MTTSZ)</t>
  </si>
  <si>
    <t>telj. %</t>
  </si>
  <si>
    <t>Nyári gyermekétkeztetés (3.m.I.3.)</t>
  </si>
  <si>
    <t>Könyvtári érdekeltségnövelő támogatás (IV. 1.i.)</t>
  </si>
  <si>
    <t>mód. IV.</t>
  </si>
  <si>
    <t>Gyermekvédelmi Erzsébet utalvány</t>
  </si>
  <si>
    <t>Szociális ágazati pótlék kiegészítő támogatás</t>
  </si>
  <si>
    <t>mód. V,</t>
  </si>
  <si>
    <t>mód. V.</t>
  </si>
  <si>
    <t>Nagycenk Nagyközség Önkormányzata</t>
  </si>
  <si>
    <t>Egészséges Óvodás Gyermekekért Alapítvány</t>
  </si>
  <si>
    <t>Államháztartáson belüli megelőlegezések</t>
  </si>
  <si>
    <t xml:space="preserve">Forintban </t>
  </si>
  <si>
    <t>Irányítószervi (önkormányzati) támogatás</t>
  </si>
  <si>
    <t>Ft-ban</t>
  </si>
  <si>
    <t>Ifjúság utca felújítása</t>
  </si>
  <si>
    <t>Szociális tűzifa (2015. évről áthúzódó)</t>
  </si>
  <si>
    <t>Forintban</t>
  </si>
  <si>
    <t>3 a.) Család- és gyermekjóléti szolgálat</t>
  </si>
  <si>
    <t>3 c.) Szociális étkeztetés</t>
  </si>
  <si>
    <t>3 f.) Időskorúak nappali intézményi ellátása</t>
  </si>
  <si>
    <t xml:space="preserve">III. 5. c. A rászoruló gyermekek intézményen kívüli szünidei étkeztetésének támogatása </t>
  </si>
  <si>
    <t>Hiány belső finanszírozása (pénzmaradvány)</t>
  </si>
  <si>
    <t xml:space="preserve">Finanszírozási bevételek </t>
  </si>
  <si>
    <t xml:space="preserve">Finanszírozási kiadások </t>
  </si>
  <si>
    <t>6.4</t>
  </si>
  <si>
    <t>7</t>
  </si>
  <si>
    <t>Forgatási  célú belföldi értékpapírok vásárlása</t>
  </si>
  <si>
    <t>Forgatási célú értékpapírok vásárlása</t>
  </si>
  <si>
    <t>Felhalmozási célú egyéb átvett pénzeszközök államháztartáson kívűlről</t>
  </si>
  <si>
    <t>2. Felhalmozási célú egyéb átvett pénzeszközök államháztartáson kívűlről</t>
  </si>
  <si>
    <t>Szolgáltatások ellenértéke</t>
  </si>
  <si>
    <t>Egyéb működési bevételek</t>
  </si>
  <si>
    <t>Tualjdonosi bevételek</t>
  </si>
  <si>
    <t>Ellátási díjak</t>
  </si>
  <si>
    <t>Kiszámlázott általános forgalmi adó</t>
  </si>
  <si>
    <t>1.6</t>
  </si>
  <si>
    <t>1.7</t>
  </si>
  <si>
    <t>2.3.</t>
  </si>
  <si>
    <t>2.4.1</t>
  </si>
  <si>
    <t>2.4.2</t>
  </si>
  <si>
    <t>2.4.3</t>
  </si>
  <si>
    <t>2.7</t>
  </si>
  <si>
    <t>Felhalmozási célú visszatérítendő támogatás visszafizetése</t>
  </si>
  <si>
    <t>Visszatérítendő támogatás átadása államháztartáson belülre</t>
  </si>
  <si>
    <t xml:space="preserve">Finanszírozási műveletek </t>
  </si>
  <si>
    <t>adatok Ft-ban</t>
  </si>
  <si>
    <t>Működési célú költségvetési támogatások és kiegészítő támogatások</t>
  </si>
  <si>
    <t>Működési célú támogatások államháztartáson belülről</t>
  </si>
  <si>
    <t xml:space="preserve">Véglegesen és átmeneti jelleggel átadott pénzeszközök </t>
  </si>
  <si>
    <t>Véglegesen átadott pénzeszközök</t>
  </si>
  <si>
    <t>Közvetített szolgáltatok ellenértéke</t>
  </si>
  <si>
    <t>Vadászati jog bérbeadéséból származó jövedelem</t>
  </si>
  <si>
    <t>Orvosi ügyelet - Kapuvár Városi Önkormányzat</t>
  </si>
  <si>
    <t>Orvosi ügyelet - Többcélú Társulás Kapuvár</t>
  </si>
  <si>
    <t>Beledi Katolikus Egyház</t>
  </si>
  <si>
    <t>Régi Beledi Baráti Kör</t>
  </si>
  <si>
    <t>Civil szervezetek támogatása (képviselői felajánlásból)</t>
  </si>
  <si>
    <t>Egyházak támogatása (képviselői felajánlásból)</t>
  </si>
  <si>
    <t>Rendkívüli önkormányzati támogatás (Kvtv. 3. melléklet III. a) pont)</t>
  </si>
  <si>
    <t>Iparűzési adó - állandó jellegggel végzett</t>
  </si>
  <si>
    <t>Települési hulladékgazdálkodási feladatok</t>
  </si>
  <si>
    <t>Szociális és gyermekjóléti ellátások</t>
  </si>
  <si>
    <t>Települési támogatás - gyógszertámogatás (Szt. 45. § (1) bek.)</t>
  </si>
  <si>
    <t>Települési támogatás - temetési támogatás (Szt. 45. § (1) bek.)</t>
  </si>
  <si>
    <t>Rendkívüli települési támogatás (Szt. 45. § (4)-(5) bek.)</t>
  </si>
  <si>
    <t>Köztemetés (Szt. 48. §)</t>
  </si>
  <si>
    <t>Szünidei gyermekétkeztetés (Gyvt. 21/C. §)</t>
  </si>
  <si>
    <t>Beled Sportegyesület "rezsitámogatás"</t>
  </si>
  <si>
    <t>Rendőrörs - Rábakecöl Községi Önkormányzat</t>
  </si>
  <si>
    <t>Tárgyi eszközök értékesítése</t>
  </si>
  <si>
    <t>3 da.) Házi segítégnyújtás - szociális segítés</t>
  </si>
  <si>
    <t>3 db.) Házi segítégnyújtás - személyi gondozás</t>
  </si>
  <si>
    <t>3 jb.) Családi bölcsőde</t>
  </si>
  <si>
    <t>III. m. Pszichiátriai betegek részére nyújtott közösségi alapellátás - alaptámogatás</t>
  </si>
  <si>
    <t>III. m.Pszichiátriai betegek részére nyújtott közösségi alapellátás - teljesíménytámogatás</t>
  </si>
  <si>
    <t>III. m.Pszichiátriai betegek részére nyújtott közösségi alapellátás</t>
  </si>
  <si>
    <t>Forgatási célú értékpapírból származó bevétel</t>
  </si>
  <si>
    <t xml:space="preserve">BERUHÁZÁSOK (ÁFA-val) </t>
  </si>
  <si>
    <t>Beledi Katolikus Egyházközség</t>
  </si>
  <si>
    <t>Beledi Evangélikus Egyházközség</t>
  </si>
  <si>
    <t>III.1. Szociális ágazati összevont pótlék</t>
  </si>
  <si>
    <t>Beled Sportegyesület műfüves pálya műszaki ellenőrzése</t>
  </si>
  <si>
    <t>Önkormányzati vagyongazdálkodással kapcsolatos feladatok</t>
  </si>
  <si>
    <t>Informatikai fejlesztések, szolgáltatások</t>
  </si>
  <si>
    <t>Biztosítás kárfizetés</t>
  </si>
  <si>
    <t>2.8</t>
  </si>
  <si>
    <t>Természetbeni támogatás Gyvt. 20/a §. (Erzsébet utalvány)</t>
  </si>
  <si>
    <t>Magyar Technikai és Tömegsport Szövetség Beledi Klubja</t>
  </si>
  <si>
    <t>Önkormányzaton belül megvalósuló projektek (támogatási szerződéssel rendelkező)</t>
  </si>
  <si>
    <t xml:space="preserve">Bevételek </t>
  </si>
  <si>
    <t xml:space="preserve">Kiadások </t>
  </si>
  <si>
    <t>Projekt megvalósítás</t>
  </si>
  <si>
    <t>Beled Város Középületeinek energetikai korszerűsítése</t>
  </si>
  <si>
    <t>Összes bevétel</t>
  </si>
  <si>
    <t>Összes kiadás</t>
  </si>
  <si>
    <t>Helyi termelői piac kialakítása Beleden</t>
  </si>
  <si>
    <t xml:space="preserve">Támogatás </t>
  </si>
  <si>
    <t>Közlekedésfejlesztés Beled városában</t>
  </si>
  <si>
    <t>Beled Város Önkormányzata ASP központhoz való csatlakozása</t>
  </si>
  <si>
    <t>Saját forrás</t>
  </si>
  <si>
    <t>Emberi Erőforrás Támogatáskezelő</t>
  </si>
  <si>
    <t>Fidesz-Magyar Polgári Szövetség</t>
  </si>
  <si>
    <t>Beledi Asztalitenisz és Tenisz Klub</t>
  </si>
  <si>
    <t xml:space="preserve">Beledi Sportegyesület </t>
  </si>
  <si>
    <t>Beledi Általános Iskola Diákönkormányzata</t>
  </si>
  <si>
    <t>Tetelepülési Önkormányzatok Országos Szövetsége tagíj</t>
  </si>
  <si>
    <t>Közúti személyszállítás (kerékpárút)</t>
  </si>
  <si>
    <t>Lakásfenntartással, lakhatással összefüggő ellátások (szociális tűzifa)</t>
  </si>
  <si>
    <t>Államháztartáson belüli megelőlegezés</t>
  </si>
  <si>
    <t>Szociális tűzifa (2017)</t>
  </si>
  <si>
    <t>Beledi Szociális és Gyermekjóléti Társulás 2017. évi hozzájárulás elszámolás</t>
  </si>
  <si>
    <t>TOP-3.2.1-15-GM1-2017-00033</t>
  </si>
  <si>
    <t>TOP-1.1.3-15-GM1-2017-00008</t>
  </si>
  <si>
    <t>TOP-3.1.1-15GM1-2017-00013</t>
  </si>
  <si>
    <t>fűnyíró beszerzése óvodába</t>
  </si>
  <si>
    <t xml:space="preserve">2. számú melléklet </t>
  </si>
  <si>
    <t xml:space="preserve">3. számú melléklet </t>
  </si>
  <si>
    <t xml:space="preserve">4. számú melléklet </t>
  </si>
  <si>
    <t xml:space="preserve">TOP-3.1.1-15-GM1-2016-00013 Közlekedésfejlesztés Beled városában </t>
  </si>
  <si>
    <t>Kerékpártároló kialakítása</t>
  </si>
  <si>
    <t>EFOP-1.5.2 eszközbeszerzések</t>
  </si>
  <si>
    <t xml:space="preserve">TOP-3.2.1-15-GM1-2016-00033 Beled Város középületeinek energetikai korszerűsítése </t>
  </si>
  <si>
    <t>Óvoda felújítása</t>
  </si>
  <si>
    <t>Járdafelújítás BM pályázat</t>
  </si>
  <si>
    <t>EFOP-1.5.2 művelődési ház felújítása</t>
  </si>
  <si>
    <t>H</t>
  </si>
  <si>
    <t xml:space="preserve">8. számú melléklet </t>
  </si>
  <si>
    <t xml:space="preserve">7/b. számú melléklet </t>
  </si>
  <si>
    <t>TOP pályázat - Piac kialakítása</t>
  </si>
  <si>
    <t>TOP pályázat - Kerékpárút kialakítása</t>
  </si>
  <si>
    <t>TOP pályázat- energetikai korszerűsítés</t>
  </si>
  <si>
    <t>Intézményen kívüli gyermekétkeztetés (szünidei)</t>
  </si>
  <si>
    <t>EFOP-1.5.2 pályázat - Humán szolgáltatások fejlesztése</t>
  </si>
  <si>
    <t>Beled Sportegyesület</t>
  </si>
  <si>
    <t>Fogorvosi ügyelet Soproni Szociális Intézmény</t>
  </si>
  <si>
    <t>Mozgáskorlátozottak Győr-Moson-Sopron Megyei Egyesülete</t>
  </si>
  <si>
    <t>ASP rendszer működtetésében résztvevők támogatása</t>
  </si>
  <si>
    <t>Többéves kihatással járó döntések számszerűsítése évenkénti bontásban és összesítve célok szerint</t>
  </si>
  <si>
    <t>Sor-
szám</t>
  </si>
  <si>
    <t>Kötelezettség jogcíme</t>
  </si>
  <si>
    <t>Köt. váll.
 éve</t>
  </si>
  <si>
    <t>Kiadás vonzata évenként</t>
  </si>
  <si>
    <t>A</t>
  </si>
  <si>
    <t>C</t>
  </si>
  <si>
    <t>D</t>
  </si>
  <si>
    <t>E</t>
  </si>
  <si>
    <t>G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</si>
  <si>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</si>
  <si>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</si>
  <si>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</si>
  <si>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</si>
  <si>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</si>
  <si>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2016</t>
  </si>
  <si>
    <t>2017. évi Pünkösdi Fesztivál előkészítése, lebonyolítása 152/2016. (XII. 21.) határozat szerint</t>
  </si>
  <si>
    <t>TOP-3.1.1-15 Kerékpárút építése</t>
  </si>
  <si>
    <t>Felújítási kiadások felújításonként</t>
  </si>
  <si>
    <t>TOP-3.2.1-15 Beled város középületeinek energetikai korszerűsítése (konyha, hivatal épülete)</t>
  </si>
  <si>
    <t>16.</t>
  </si>
  <si>
    <t>17.</t>
  </si>
  <si>
    <t>Egyéb (Pl.: garancia és kezességvállalás, stb.)</t>
  </si>
  <si>
    <t>18.</t>
  </si>
  <si>
    <t>2019.</t>
  </si>
  <si>
    <t>2020.</t>
  </si>
  <si>
    <t>2017</t>
  </si>
  <si>
    <t>Járdafelújítás BM pályázat (támogatás összege 15 mFt)</t>
  </si>
  <si>
    <t xml:space="preserve">Összesen </t>
  </si>
  <si>
    <t>Hiteltörlesztés (2016. évi)</t>
  </si>
  <si>
    <t xml:space="preserve">13. számú melléklet </t>
  </si>
  <si>
    <t xml:space="preserve">14. számú melléklet </t>
  </si>
  <si>
    <t xml:space="preserve">12. számú melléklet </t>
  </si>
  <si>
    <t xml:space="preserve">10. számú melléklet </t>
  </si>
  <si>
    <t xml:space="preserve">9. számú melléklet  </t>
  </si>
  <si>
    <t xml:space="preserve">1. számú melléklet </t>
  </si>
  <si>
    <t>Elszámolásból származó bevétel</t>
  </si>
  <si>
    <t>Magyar Máltai Szeretetszolgálat</t>
  </si>
  <si>
    <t>Önkormányzati bérkompenzáció</t>
  </si>
  <si>
    <t>Települési önkormányzatok szociális célú tüzelőanyag vásárlásának kiegészítő támogatása</t>
  </si>
  <si>
    <t xml:space="preserve">5.2 számú melléklet </t>
  </si>
  <si>
    <t xml:space="preserve">5.1 számú melléklet </t>
  </si>
  <si>
    <t>Országos Mentőszolgálat Alapítvány</t>
  </si>
  <si>
    <t>nettó</t>
  </si>
  <si>
    <t>áfa</t>
  </si>
  <si>
    <t>Út, autópálya építése</t>
  </si>
  <si>
    <t>Egyéb szociális ellátások (szociális tűzifa)</t>
  </si>
  <si>
    <t>Beledi Általános Iskola Diákjaiért Közalapítvány 2017. évi áthúzódó</t>
  </si>
  <si>
    <t>Telepüési Önkormányzatok Országos Szövetsége</t>
  </si>
  <si>
    <t>Magyar Védőnők Egyesülete</t>
  </si>
  <si>
    <t xml:space="preserve">Beledi Általános Iskola Diákjaiért Közalapítvány </t>
  </si>
  <si>
    <t>Téli Rezsicsökkentésben korábban nem részesült háztartások támogatása</t>
  </si>
  <si>
    <t>Szociális tüzelőanyag támogatása</t>
  </si>
  <si>
    <t>VP6-7.2.1-7.4.1.2-16 kódszámú "A vidéki térségek kismértékű infrastruktúrájának és alapvető szolgáltatásainak fejlesztésére - Külterületi helyi közutak fejlesztése, önkormányzati utak kezeléséhez, állapotjavításához szükséges erő- és munkagépek beszerzése. Támogatás összege: 19.340.856</t>
  </si>
  <si>
    <t>Óvoda épületének felújítása</t>
  </si>
  <si>
    <t xml:space="preserve">Európai Uniós támogatással megvalósuló  programok, projektek bevételei és kiadásai  </t>
  </si>
  <si>
    <t>VP6-7.2.1-7.4.1.2-16</t>
  </si>
  <si>
    <t>A vidéki térségek kismértékű infrastruktúrájának és alapvető szolgáltatásainak fejlesztésére - Külterületi helyi közutak fejlesztése, önkormányzati utak kezeléséhez, állapotjavításához szükséges erő- és munkagépek beszerzése (konzorciumban Dénesfa Község Önkormányzatával)</t>
  </si>
  <si>
    <t>Önkormányzat 2019. évi kiadási előirányzatai</t>
  </si>
  <si>
    <t>Önkormányzat 2019. évi bevételi előirányzatai</t>
  </si>
  <si>
    <t>Önkormányzat összevont 2019. évi bevételi előirányzatai</t>
  </si>
  <si>
    <t>2019. évi belső forrásból fedezhető működési hiány</t>
  </si>
  <si>
    <t xml:space="preserve">2019. évi belső  forrásból fedezhető felhalmozási hiány </t>
  </si>
  <si>
    <t>2019. évi belső forrásból fedezhető összes hiány (1.+2.)</t>
  </si>
  <si>
    <t xml:space="preserve">2019. évi külső forrásból fedezhető működési hiány </t>
  </si>
  <si>
    <t xml:space="preserve">2019. évi külső forrásból fedezhető felhalmozási hiány </t>
  </si>
  <si>
    <t>2019. évi külső forrásból fedezhető összes hiány (1.+2.)</t>
  </si>
  <si>
    <t>Önkormányzat költségvetési szerveinek 2019. évi létszámkerete</t>
  </si>
  <si>
    <t>2019. január 1.</t>
  </si>
  <si>
    <t>2019. december 31.</t>
  </si>
  <si>
    <t xml:space="preserve">2019. év </t>
  </si>
  <si>
    <t>2019. év</t>
  </si>
  <si>
    <t>Beledi Szociális és Gyermekjóléti Társulás 2019. évi hozzájárulás</t>
  </si>
  <si>
    <t>2019. évi előirányzat</t>
  </si>
  <si>
    <t>Előirányzat-felhasználási terv
2019. évre</t>
  </si>
  <si>
    <t>A 2019. évi általános működési és ágazati feladatok támogatásának alakulása jogcímenként</t>
  </si>
  <si>
    <t>Kulturális ágazati pótlék (8/2019. (I. 23.) Korm.rendelet)</t>
  </si>
  <si>
    <t>2019. előtti kifizetés</t>
  </si>
  <si>
    <t>KÖFOP-1.2.1-VEKOP-16-2019-00870</t>
  </si>
  <si>
    <t>2 db csecsemőmérleg</t>
  </si>
  <si>
    <t>1 dbmagzati szívhanghallgató</t>
  </si>
  <si>
    <t>1 db hallásvizsgáló</t>
  </si>
  <si>
    <t>1 db hosszmérő</t>
  </si>
  <si>
    <t>1 db személymérleg</t>
  </si>
  <si>
    <t>nyomtató védőnői szolgálat részére</t>
  </si>
  <si>
    <t>iskolai pálya körbekerítése</t>
  </si>
  <si>
    <t>VP mezőgazdasági gépbeszerzése</t>
  </si>
  <si>
    <t>településrendezési terv</t>
  </si>
  <si>
    <t>WC konténer beszerzése</t>
  </si>
  <si>
    <t>jármű beszerzése</t>
  </si>
  <si>
    <t>díszkút beszerzése</t>
  </si>
  <si>
    <t>szabadidőpark járda</t>
  </si>
  <si>
    <t>Ifjúság utca tervezése</t>
  </si>
  <si>
    <t>Vörösmarty utca térkő vásárlása</t>
  </si>
  <si>
    <t>Járdafelújítás (áthúzódó térkő vásárlása)</t>
  </si>
  <si>
    <t>Járda- és útfelújítás (művház járda+út kivitelezése)</t>
  </si>
  <si>
    <t>vírusirtó szoftver</t>
  </si>
  <si>
    <t>szerver hardver</t>
  </si>
  <si>
    <t>szerver szoftver</t>
  </si>
  <si>
    <t>kisértékű tárgyi eszközök beszerzése</t>
  </si>
  <si>
    <t>digitális mérleg</t>
  </si>
  <si>
    <t>szúnyoghálók konyhára</t>
  </si>
  <si>
    <t>kisértékű tárgyi eszközök beszerzése bölcsődébe</t>
  </si>
  <si>
    <t>asztalok, kiadó pult konyhára</t>
  </si>
  <si>
    <t>Homokozó gumilappal, árnyékoló + homoktakaró bölcsődébe</t>
  </si>
  <si>
    <t>irodai szék beszerzése művelődési házba</t>
  </si>
  <si>
    <t>Beled Város Önkéntes Tűzoltó Egyesülete</t>
  </si>
  <si>
    <t>"Előre" Horgászegyesület</t>
  </si>
  <si>
    <t>01. Helyi önkormányzatok működésének általános támogatása</t>
  </si>
  <si>
    <t>III.6.a. Bölcsőde bértámogatás</t>
  </si>
  <si>
    <t>III.6.b. Bölcsőde üzemeltetési támogatás</t>
  </si>
  <si>
    <t>2021.</t>
  </si>
  <si>
    <t>2021. után</t>
  </si>
  <si>
    <t>2018</t>
  </si>
  <si>
    <t>2019. május 2.</t>
  </si>
  <si>
    <t>I.6. 2019. évi bérkompenzáció</t>
  </si>
  <si>
    <t>Magyar Államkincstár TOP-1.1.3-15-GM1-2016-00008 Helyi termelői piac kialakítása támogatás visszafizetése</t>
  </si>
  <si>
    <t>könyvtári érdekeltségnövelő támogatás</t>
  </si>
  <si>
    <t>EFOP-1.5.2-16-2017-00023</t>
  </si>
  <si>
    <t>Beled és térsége humán szolgáltatásainak fejlesztése</t>
  </si>
  <si>
    <t>EFOP-1.5.2-16-2017-00023 Beled és térsége humán szolgáltatásainak fejlesztése</t>
  </si>
  <si>
    <t>Vörösmarty utca járdaépítés</t>
  </si>
  <si>
    <t>MFP Vicai faluház újraépítése</t>
  </si>
  <si>
    <t>MFP - Egészségház felújítása</t>
  </si>
  <si>
    <t>Településfejlesztési projektek és támogatásuk</t>
  </si>
  <si>
    <t>EFOP-1.5.2-16-2017-00023 lakhatási támogatás</t>
  </si>
  <si>
    <t>A minimálbér és a garantált bérminimum emelésével kapcsolatos intézkedésekről szóló 1354/2019. (VI. 14.) Korm. Határozat szerinti támogatás</t>
  </si>
  <si>
    <t>Kulturális feladatok támogatása</t>
  </si>
  <si>
    <t>Fénydekorációs elemek</t>
  </si>
  <si>
    <t>Hűtőszekrény beszerzés védőnők számára</t>
  </si>
  <si>
    <t>sövényvágó</t>
  </si>
  <si>
    <t>konyhára eszközök beszerzése</t>
  </si>
  <si>
    <t>Iskkola+tornacsarnok fűtéskorszerűsítés</t>
  </si>
  <si>
    <t>Mikrohullámú sütő beszerzése</t>
  </si>
  <si>
    <t>Tálcacsúsztató falipolc konyhára</t>
  </si>
  <si>
    <t>Óvodai fektetők beszerzése (25 db)</t>
  </si>
  <si>
    <t>Porszívó beszerzése művelődési házba</t>
  </si>
  <si>
    <t>Laminálógép beszerzése művelődési házba</t>
  </si>
  <si>
    <t>Tablet bölcsődébe</t>
  </si>
  <si>
    <t>hangosító,porszívó, fényképezőgép, iratmegsemmisítő óvodába</t>
  </si>
  <si>
    <t>informatikai eszközök beszerzése</t>
  </si>
  <si>
    <t>MFP útfelújítás</t>
  </si>
  <si>
    <t>MFP óvodaudvar - kerítésfelújítás</t>
  </si>
  <si>
    <t>Közfoglalkoztatás</t>
  </si>
  <si>
    <t>Piac üzemeltetése</t>
  </si>
  <si>
    <t>Komplex környezetvédelmi programok támogatása (KEHOP)</t>
  </si>
  <si>
    <t>Szociális ellátások (tűzifa, téli rezsicsökkentés)</t>
  </si>
  <si>
    <t>Mosonmagyaróvár Nagytérségi Hulladékgazdálkodási Önkormányzat Társulás</t>
  </si>
  <si>
    <t>"Előre" Horgász Egyesület</t>
  </si>
  <si>
    <t>"Előre" Horgász Egyesület 2017. évről áthúzódó</t>
  </si>
  <si>
    <t>Rábaköz Vidékfejlesztési Egyesület</t>
  </si>
  <si>
    <t>KEHOP-1.2.1-18-2018-00148</t>
  </si>
  <si>
    <t xml:space="preserve"> Szövetségben az éghajlat védelméért Beled és Répceszemere településeken</t>
  </si>
  <si>
    <t xml:space="preserve">ebből: </t>
  </si>
  <si>
    <t>2017-2019</t>
  </si>
  <si>
    <t>19.</t>
  </si>
  <si>
    <t>20.</t>
  </si>
  <si>
    <t>21.</t>
  </si>
  <si>
    <t xml:space="preserve">16. számú melléklet 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</si>
</sst>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#,##0.0"/>
    <numFmt numFmtId="168" formatCode="General\ &quot; fő&quot;"/>
    <numFmt numFmtId="169" formatCode="#,###"/>
    <numFmt numFmtId="170" formatCode="#,##0_ ;\-#,##0\ "/>
    <numFmt numFmtId="171" formatCode="#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00"/>
    <numFmt numFmtId="176" formatCode="0.0000"/>
    <numFmt numFmtId="177" formatCode="[$€-2]\ #\ ##,000_);[Red]\([$€-2]\ #\ ##,000\)"/>
    <numFmt numFmtId="178" formatCode="###\ ###\ ###\ ###\ ##0.00"/>
    <numFmt numFmtId="179" formatCode="#,###__"/>
    <numFmt numFmtId="180" formatCode="00"/>
    <numFmt numFmtId="181" formatCode="#,###__;\-#,###__"/>
    <numFmt numFmtId="182" formatCode="#,###\ _F_t;\-#,###\ _F_t"/>
    <numFmt numFmtId="183" formatCode="#,###,_F_t;\-#,###,_F_t"/>
    <numFmt numFmtId="184" formatCode="#,###.00"/>
  </numFmts>
  <fonts count="139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b/>
      <sz val="14"/>
      <name val="Times New Roman CE"/>
      <family val="1"/>
    </font>
    <font>
      <sz val="8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i/>
      <sz val="12"/>
      <name val="Times New Roman CE"/>
      <family val="0"/>
    </font>
    <font>
      <i/>
      <sz val="11"/>
      <color indexed="8"/>
      <name val="Calibri"/>
      <family val="2"/>
    </font>
    <font>
      <i/>
      <sz val="10"/>
      <name val="Arial CE"/>
      <family val="0"/>
    </font>
    <font>
      <i/>
      <sz val="10"/>
      <name val="Arial"/>
      <family val="2"/>
    </font>
    <font>
      <i/>
      <sz val="11"/>
      <name val="MS Sans Serif"/>
      <family val="2"/>
    </font>
    <font>
      <i/>
      <sz val="12"/>
      <name val="MS Sans Serif"/>
      <family val="2"/>
    </font>
    <font>
      <i/>
      <sz val="12"/>
      <name val="Arial CE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0"/>
      <color indexed="10"/>
      <name val="Times New Roman"/>
      <family val="1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7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MS Sans Serif"/>
      <family val="2"/>
    </font>
    <font>
      <sz val="10"/>
      <color rgb="FFFF0000"/>
      <name val="MS Sans Serif"/>
      <family val="2"/>
    </font>
    <font>
      <sz val="10"/>
      <color rgb="FFFF0000"/>
      <name val="Times New Roman"/>
      <family val="1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lightHorizontal"/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2" borderId="0" applyNumberFormat="0" applyBorder="0" applyAlignment="0" applyProtection="0"/>
    <xf numFmtId="0" fontId="116" fillId="3" borderId="0" applyNumberFormat="0" applyBorder="0" applyAlignment="0" applyProtection="0"/>
    <xf numFmtId="0" fontId="116" fillId="4" borderId="0" applyNumberFormat="0" applyBorder="0" applyAlignment="0" applyProtection="0"/>
    <xf numFmtId="0" fontId="116" fillId="5" borderId="0" applyNumberFormat="0" applyBorder="0" applyAlignment="0" applyProtection="0"/>
    <xf numFmtId="0" fontId="116" fillId="6" borderId="0" applyNumberFormat="0" applyBorder="0" applyAlignment="0" applyProtection="0"/>
    <xf numFmtId="0" fontId="11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6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7" fillId="21" borderId="0" applyNumberFormat="0" applyBorder="0" applyAlignment="0" applyProtection="0"/>
    <xf numFmtId="0" fontId="117" fillId="22" borderId="0" applyNumberFormat="0" applyBorder="0" applyAlignment="0" applyProtection="0"/>
    <xf numFmtId="0" fontId="117" fillId="23" borderId="0" applyNumberFormat="0" applyBorder="0" applyAlignment="0" applyProtection="0"/>
    <xf numFmtId="0" fontId="117" fillId="24" borderId="0" applyNumberFormat="0" applyBorder="0" applyAlignment="0" applyProtection="0"/>
    <xf numFmtId="0" fontId="117" fillId="25" borderId="0" applyNumberFormat="0" applyBorder="0" applyAlignment="0" applyProtection="0"/>
    <xf numFmtId="0" fontId="117" fillId="26" borderId="0" applyNumberFormat="0" applyBorder="0" applyAlignment="0" applyProtection="0"/>
    <xf numFmtId="0" fontId="94" fillId="12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94" fillId="20" borderId="0" applyNumberFormat="0" applyBorder="0" applyAlignment="0" applyProtection="0"/>
    <xf numFmtId="0" fontId="94" fillId="12" borderId="0" applyNumberFormat="0" applyBorder="0" applyAlignment="0" applyProtection="0"/>
    <xf numFmtId="0" fontId="94" fillId="9" borderId="0" applyNumberFormat="0" applyBorder="0" applyAlignment="0" applyProtection="0"/>
    <xf numFmtId="0" fontId="94" fillId="29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94" fillId="30" borderId="0" applyNumberFormat="0" applyBorder="0" applyAlignment="0" applyProtection="0"/>
    <xf numFmtId="0" fontId="94" fillId="31" borderId="0" applyNumberFormat="0" applyBorder="0" applyAlignment="0" applyProtection="0"/>
    <xf numFmtId="0" fontId="94" fillId="32" borderId="0" applyNumberFormat="0" applyBorder="0" applyAlignment="0" applyProtection="0"/>
    <xf numFmtId="0" fontId="105" fillId="33" borderId="0" applyNumberFormat="0" applyBorder="0" applyAlignment="0" applyProtection="0"/>
    <xf numFmtId="0" fontId="118" fillId="34" borderId="1" applyNumberFormat="0" applyAlignment="0" applyProtection="0"/>
    <xf numFmtId="0" fontId="107" fillId="35" borderId="2" applyNumberFormat="0" applyAlignment="0" applyProtection="0"/>
    <xf numFmtId="0" fontId="100" fillId="36" borderId="3" applyNumberFormat="0" applyAlignment="0" applyProtection="0"/>
    <xf numFmtId="0" fontId="119" fillId="0" borderId="0" applyNumberFormat="0" applyFill="0" applyBorder="0" applyAlignment="0" applyProtection="0"/>
    <xf numFmtId="0" fontId="120" fillId="0" borderId="4" applyNumberFormat="0" applyFill="0" applyAlignment="0" applyProtection="0"/>
    <xf numFmtId="0" fontId="121" fillId="0" borderId="5" applyNumberFormat="0" applyFill="0" applyAlignment="0" applyProtection="0"/>
    <xf numFmtId="0" fontId="122" fillId="0" borderId="6" applyNumberFormat="0" applyFill="0" applyAlignment="0" applyProtection="0"/>
    <xf numFmtId="0" fontId="122" fillId="0" borderId="0" applyNumberFormat="0" applyFill="0" applyBorder="0" applyAlignment="0" applyProtection="0"/>
    <xf numFmtId="0" fontId="123" fillId="37" borderId="7" applyNumberFormat="0" applyAlignment="0" applyProtection="0"/>
    <xf numFmtId="0" fontId="10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102" fillId="12" borderId="0" applyNumberFormat="0" applyBorder="0" applyAlignment="0" applyProtection="0"/>
    <xf numFmtId="0" fontId="97" fillId="0" borderId="8" applyNumberFormat="0" applyFill="0" applyAlignment="0" applyProtection="0"/>
    <xf numFmtId="0" fontId="98" fillId="0" borderId="9" applyNumberFormat="0" applyFill="0" applyAlignment="0" applyProtection="0"/>
    <xf numFmtId="0" fontId="99" fillId="0" borderId="10" applyNumberFormat="0" applyFill="0" applyAlignment="0" applyProtection="0"/>
    <xf numFmtId="0" fontId="9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5" fillId="0" borderId="11" applyNumberFormat="0" applyFill="0" applyAlignment="0" applyProtection="0"/>
    <xf numFmtId="0" fontId="95" fillId="19" borderId="2" applyNumberFormat="0" applyAlignment="0" applyProtection="0"/>
    <xf numFmtId="0" fontId="0" fillId="38" borderId="12" applyNumberFormat="0" applyFont="0" applyAlignment="0" applyProtection="0"/>
    <xf numFmtId="0" fontId="117" fillId="39" borderId="0" applyNumberFormat="0" applyBorder="0" applyAlignment="0" applyProtection="0"/>
    <xf numFmtId="0" fontId="117" fillId="40" borderId="0" applyNumberFormat="0" applyBorder="0" applyAlignment="0" applyProtection="0"/>
    <xf numFmtId="0" fontId="117" fillId="41" borderId="0" applyNumberFormat="0" applyBorder="0" applyAlignment="0" applyProtection="0"/>
    <xf numFmtId="0" fontId="117" fillId="42" borderId="0" applyNumberFormat="0" applyBorder="0" applyAlignment="0" applyProtection="0"/>
    <xf numFmtId="0" fontId="117" fillId="43" borderId="0" applyNumberFormat="0" applyBorder="0" applyAlignment="0" applyProtection="0"/>
    <xf numFmtId="0" fontId="117" fillId="44" borderId="0" applyNumberFormat="0" applyBorder="0" applyAlignment="0" applyProtection="0"/>
    <xf numFmtId="0" fontId="126" fillId="45" borderId="0" applyNumberFormat="0" applyBorder="0" applyAlignment="0" applyProtection="0"/>
    <xf numFmtId="0" fontId="127" fillId="46" borderId="13" applyNumberFormat="0" applyAlignment="0" applyProtection="0"/>
    <xf numFmtId="0" fontId="68" fillId="0" borderId="0" applyNumberFormat="0" applyFill="0" applyBorder="0" applyAlignment="0" applyProtection="0"/>
    <xf numFmtId="0" fontId="101" fillId="0" borderId="14" applyNumberFormat="0" applyFill="0" applyAlignment="0" applyProtection="0"/>
    <xf numFmtId="0" fontId="12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29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10" borderId="15" applyNumberFormat="0" applyAlignment="0" applyProtection="0"/>
    <xf numFmtId="0" fontId="103" fillId="35" borderId="16" applyNumberFormat="0" applyAlignment="0" applyProtection="0"/>
    <xf numFmtId="0" fontId="130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1" fillId="47" borderId="0" applyNumberFormat="0" applyBorder="0" applyAlignment="0" applyProtection="0"/>
    <xf numFmtId="0" fontId="132" fillId="48" borderId="0" applyNumberFormat="0" applyBorder="0" applyAlignment="0" applyProtection="0"/>
    <xf numFmtId="0" fontId="133" fillId="46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66" fillId="0" borderId="18" applyNumberFormat="0" applyFill="0" applyAlignment="0" applyProtection="0"/>
    <xf numFmtId="0" fontId="101" fillId="0" borderId="0" applyNumberFormat="0" applyFill="0" applyBorder="0" applyAlignment="0" applyProtection="0"/>
  </cellStyleXfs>
  <cellXfs count="14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106">
      <alignment/>
      <protection/>
    </xf>
    <xf numFmtId="0" fontId="17" fillId="0" borderId="0" xfId="106" applyFont="1" applyAlignment="1">
      <alignment horizontal="center"/>
      <protection/>
    </xf>
    <xf numFmtId="0" fontId="11" fillId="0" borderId="0" xfId="106" applyAlignment="1">
      <alignment vertical="center"/>
      <protection/>
    </xf>
    <xf numFmtId="0" fontId="13" fillId="0" borderId="0" xfId="106" applyFont="1">
      <alignment/>
      <protection/>
    </xf>
    <xf numFmtId="0" fontId="0" fillId="0" borderId="0" xfId="0" applyFont="1" applyAlignment="1">
      <alignment wrapText="1"/>
    </xf>
    <xf numFmtId="0" fontId="33" fillId="0" borderId="0" xfId="107" applyFont="1" applyAlignment="1">
      <alignment horizontal="center" vertical="center"/>
      <protection/>
    </xf>
    <xf numFmtId="0" fontId="26" fillId="0" borderId="19" xfId="107" applyFont="1" applyBorder="1" applyAlignment="1">
      <alignment horizontal="left" vertical="center" wrapText="1"/>
      <protection/>
    </xf>
    <xf numFmtId="0" fontId="36" fillId="0" borderId="20" xfId="107" applyFont="1" applyBorder="1" applyAlignment="1">
      <alignment horizontal="center" vertical="center" wrapText="1"/>
      <protection/>
    </xf>
    <xf numFmtId="0" fontId="36" fillId="0" borderId="21" xfId="107" applyFont="1" applyBorder="1" applyAlignment="1">
      <alignment horizontal="center" vertical="center" wrapText="1"/>
      <protection/>
    </xf>
    <xf numFmtId="0" fontId="0" fillId="0" borderId="22" xfId="106" applyFont="1" applyBorder="1" applyAlignment="1">
      <alignment horizontal="center" vertical="center"/>
      <protection/>
    </xf>
    <xf numFmtId="0" fontId="7" fillId="0" borderId="0" xfId="0" applyFont="1" applyAlignment="1">
      <alignment vertical="center" wrapText="1"/>
    </xf>
    <xf numFmtId="3" fontId="11" fillId="0" borderId="0" xfId="106" applyNumberFormat="1" applyAlignment="1">
      <alignment vertical="center"/>
      <protection/>
    </xf>
    <xf numFmtId="0" fontId="19" fillId="0" borderId="0" xfId="107" applyAlignment="1">
      <alignment horizontal="left" vertical="center" wrapText="1"/>
      <protection/>
    </xf>
    <xf numFmtId="3" fontId="5" fillId="0" borderId="0" xfId="0" applyNumberFormat="1" applyFont="1" applyAlignment="1">
      <alignment horizontal="right" vertical="center"/>
    </xf>
    <xf numFmtId="0" fontId="15" fillId="0" borderId="19" xfId="106" applyFont="1" applyBorder="1" applyAlignment="1">
      <alignment wrapText="1"/>
      <protection/>
    </xf>
    <xf numFmtId="0" fontId="12" fillId="0" borderId="23" xfId="106" applyFont="1" applyBorder="1" applyAlignment="1">
      <alignment wrapText="1"/>
      <protection/>
    </xf>
    <xf numFmtId="3" fontId="41" fillId="0" borderId="24" xfId="106" applyNumberFormat="1" applyFont="1" applyBorder="1" applyAlignment="1">
      <alignment horizontal="right"/>
      <protection/>
    </xf>
    <xf numFmtId="0" fontId="41" fillId="0" borderId="24" xfId="106" applyFont="1" applyBorder="1" applyAlignment="1">
      <alignment horizontal="right"/>
      <protection/>
    </xf>
    <xf numFmtId="3" fontId="41" fillId="0" borderId="25" xfId="106" applyNumberFormat="1" applyFont="1" applyBorder="1" applyAlignment="1">
      <alignment horizontal="right"/>
      <protection/>
    </xf>
    <xf numFmtId="3" fontId="18" fillId="0" borderId="20" xfId="68" applyNumberFormat="1" applyFont="1" applyBorder="1" applyAlignment="1">
      <alignment horizontal="right" vertical="center"/>
    </xf>
    <xf numFmtId="3" fontId="18" fillId="0" borderId="20" xfId="106" applyNumberFormat="1" applyFont="1" applyBorder="1" applyAlignment="1">
      <alignment horizontal="right"/>
      <protection/>
    </xf>
    <xf numFmtId="0" fontId="11" fillId="0" borderId="26" xfId="106" applyBorder="1" applyAlignment="1">
      <alignment horizontal="center" vertical="center"/>
      <protection/>
    </xf>
    <xf numFmtId="0" fontId="11" fillId="0" borderId="19" xfId="106" applyBorder="1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 vertical="center"/>
    </xf>
    <xf numFmtId="0" fontId="0" fillId="0" borderId="24" xfId="106" applyFont="1" applyBorder="1" applyAlignment="1">
      <alignment horizontal="left" vertical="center" wrapText="1"/>
      <protection/>
    </xf>
    <xf numFmtId="0" fontId="0" fillId="0" borderId="19" xfId="106" applyFont="1" applyBorder="1" applyAlignment="1">
      <alignment horizontal="center" vertical="center"/>
      <protection/>
    </xf>
    <xf numFmtId="49" fontId="7" fillId="0" borderId="0" xfId="0" applyNumberFormat="1" applyFont="1" applyAlignment="1">
      <alignment horizontal="center" vertical="center"/>
    </xf>
    <xf numFmtId="0" fontId="10" fillId="0" borderId="0" xfId="106" applyFont="1" applyAlignment="1">
      <alignment horizontal="right" vertical="center"/>
      <protection/>
    </xf>
    <xf numFmtId="0" fontId="22" fillId="0" borderId="0" xfId="106" applyFont="1" applyAlignment="1">
      <alignment horizontal="center" vertical="center"/>
      <protection/>
    </xf>
    <xf numFmtId="3" fontId="15" fillId="0" borderId="24" xfId="106" applyNumberFormat="1" applyFont="1" applyBorder="1" applyAlignment="1">
      <alignment horizontal="right" vertical="center"/>
      <protection/>
    </xf>
    <xf numFmtId="3" fontId="3" fillId="0" borderId="2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41" fillId="0" borderId="28" xfId="106" applyNumberFormat="1" applyFont="1" applyBorder="1" applyAlignment="1">
      <alignment horizontal="right"/>
      <protection/>
    </xf>
    <xf numFmtId="0" fontId="15" fillId="0" borderId="29" xfId="106" applyFont="1" applyBorder="1" applyAlignment="1">
      <alignment wrapText="1"/>
      <protection/>
    </xf>
    <xf numFmtId="0" fontId="14" fillId="0" borderId="24" xfId="0" applyFont="1" applyBorder="1" applyAlignment="1">
      <alignment vertical="center" wrapText="1"/>
    </xf>
    <xf numFmtId="0" fontId="32" fillId="0" borderId="24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3" fillId="0" borderId="32" xfId="0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33" xfId="0" applyNumberFormat="1" applyFont="1" applyBorder="1" applyAlignment="1">
      <alignment horizontal="left" vertical="center"/>
    </xf>
    <xf numFmtId="49" fontId="47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48" fillId="0" borderId="0" xfId="0" applyFont="1" applyAlignment="1">
      <alignment wrapText="1"/>
    </xf>
    <xf numFmtId="49" fontId="7" fillId="0" borderId="33" xfId="0" applyNumberFormat="1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left"/>
    </xf>
    <xf numFmtId="49" fontId="0" fillId="0" borderId="35" xfId="0" applyNumberFormat="1" applyFont="1" applyBorder="1" applyAlignment="1">
      <alignment horizontal="left"/>
    </xf>
    <xf numFmtId="49" fontId="7" fillId="0" borderId="36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0" fillId="0" borderId="37" xfId="0" applyNumberFormat="1" applyFont="1" applyBorder="1" applyAlignment="1">
      <alignment horizontal="left"/>
    </xf>
    <xf numFmtId="49" fontId="7" fillId="0" borderId="38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/>
    </xf>
    <xf numFmtId="49" fontId="3" fillId="0" borderId="32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/>
    </xf>
    <xf numFmtId="0" fontId="6" fillId="0" borderId="35" xfId="0" applyFont="1" applyBorder="1" applyAlignment="1">
      <alignment/>
    </xf>
    <xf numFmtId="3" fontId="3" fillId="0" borderId="27" xfId="0" applyNumberFormat="1" applyFont="1" applyBorder="1" applyAlignment="1">
      <alignment horizontal="right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vertical="center"/>
    </xf>
    <xf numFmtId="0" fontId="3" fillId="0" borderId="0" xfId="0" applyFont="1" applyAlignment="1">
      <alignment horizontal="centerContinuous" vertical="center" wrapText="1"/>
    </xf>
    <xf numFmtId="49" fontId="7" fillId="0" borderId="37" xfId="0" applyNumberFormat="1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3" fontId="7" fillId="0" borderId="28" xfId="0" applyNumberFormat="1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3" fontId="25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8" fillId="0" borderId="40" xfId="107" applyFont="1" applyBorder="1" applyAlignment="1">
      <alignment horizontal="left" vertical="center" wrapText="1"/>
      <protection/>
    </xf>
    <xf numFmtId="0" fontId="26" fillId="0" borderId="41" xfId="0" applyFont="1" applyBorder="1" applyAlignment="1">
      <alignment vertical="center" wrapText="1"/>
    </xf>
    <xf numFmtId="2" fontId="37" fillId="0" borderId="24" xfId="107" applyNumberFormat="1" applyFont="1" applyBorder="1" applyAlignment="1">
      <alignment horizontal="center" vertical="center" wrapText="1"/>
      <protection/>
    </xf>
    <xf numFmtId="2" fontId="37" fillId="0" borderId="42" xfId="107" applyNumberFormat="1" applyFont="1" applyBorder="1" applyAlignment="1">
      <alignment horizontal="center" vertical="center" wrapText="1"/>
      <protection/>
    </xf>
    <xf numFmtId="2" fontId="37" fillId="0" borderId="20" xfId="107" applyNumberFormat="1" applyFont="1" applyBorder="1" applyAlignment="1">
      <alignment horizontal="center" vertical="center" wrapText="1"/>
      <protection/>
    </xf>
    <xf numFmtId="169" fontId="30" fillId="0" borderId="0" xfId="0" applyNumberFormat="1" applyFont="1" applyAlignment="1">
      <alignment horizontal="left" vertical="center" wrapText="1"/>
    </xf>
    <xf numFmtId="169" fontId="30" fillId="0" borderId="0" xfId="0" applyNumberFormat="1" applyFont="1" applyAlignment="1">
      <alignment vertical="center" wrapText="1"/>
    </xf>
    <xf numFmtId="169" fontId="49" fillId="0" borderId="0" xfId="0" applyNumberFormat="1" applyFont="1" applyAlignment="1" applyProtection="1">
      <alignment vertical="center" wrapText="1"/>
      <protection locked="0"/>
    </xf>
    <xf numFmtId="0" fontId="50" fillId="0" borderId="0" xfId="0" applyFont="1" applyAlignment="1" applyProtection="1">
      <alignment horizontal="right" vertical="top"/>
      <protection locked="0"/>
    </xf>
    <xf numFmtId="0" fontId="51" fillId="0" borderId="0" xfId="0" applyFont="1" applyAlignment="1" applyProtection="1">
      <alignment horizontal="right" vertical="top"/>
      <protection locked="0"/>
    </xf>
    <xf numFmtId="169" fontId="52" fillId="0" borderId="0" xfId="0" applyNumberFormat="1" applyFont="1" applyAlignment="1" applyProtection="1">
      <alignment vertical="center" wrapText="1"/>
      <protection locked="0"/>
    </xf>
    <xf numFmtId="0" fontId="46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1" fillId="0" borderId="0" xfId="0" applyFont="1" applyAlignment="1">
      <alignment horizontal="right"/>
    </xf>
    <xf numFmtId="0" fontId="28" fillId="0" borderId="0" xfId="0" applyFont="1" applyAlignment="1">
      <alignment vertical="center"/>
    </xf>
    <xf numFmtId="0" fontId="49" fillId="0" borderId="4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3" fillId="0" borderId="44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left" vertical="center" wrapText="1" indent="1"/>
    </xf>
    <xf numFmtId="169" fontId="53" fillId="0" borderId="45" xfId="0" applyNumberFormat="1" applyFont="1" applyBorder="1" applyAlignment="1">
      <alignment horizontal="right" vertical="center" wrapText="1" indent="1"/>
    </xf>
    <xf numFmtId="0" fontId="43" fillId="0" borderId="0" xfId="0" applyFont="1" applyAlignment="1">
      <alignment vertical="center" wrapText="1"/>
    </xf>
    <xf numFmtId="0" fontId="53" fillId="0" borderId="22" xfId="0" applyFont="1" applyBorder="1" applyAlignment="1">
      <alignment horizontal="center" vertical="center" wrapText="1"/>
    </xf>
    <xf numFmtId="49" fontId="45" fillId="0" borderId="24" xfId="0" applyNumberFormat="1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45" fillId="0" borderId="24" xfId="109" applyFont="1" applyBorder="1" applyAlignment="1">
      <alignment horizontal="left" vertical="center" wrapText="1" indent="1"/>
      <protection/>
    </xf>
    <xf numFmtId="169" fontId="45" fillId="0" borderId="25" xfId="0" applyNumberFormat="1" applyFont="1" applyBorder="1" applyAlignment="1" applyProtection="1">
      <alignment horizontal="right" vertical="center" wrapText="1" indent="1"/>
      <protection locked="0"/>
    </xf>
    <xf numFmtId="0" fontId="29" fillId="0" borderId="0" xfId="0" applyFont="1" applyAlignment="1">
      <alignment vertical="center" wrapText="1"/>
    </xf>
    <xf numFmtId="0" fontId="53" fillId="0" borderId="46" xfId="0" applyFont="1" applyBorder="1" applyAlignment="1">
      <alignment horizontal="center" vertical="center" wrapText="1"/>
    </xf>
    <xf numFmtId="0" fontId="45" fillId="0" borderId="42" xfId="109" applyFont="1" applyBorder="1" applyAlignment="1">
      <alignment horizontal="left" vertical="center" wrapText="1" indent="1"/>
      <protection/>
    </xf>
    <xf numFmtId="0" fontId="53" fillId="0" borderId="44" xfId="0" applyFont="1" applyBorder="1" applyAlignment="1">
      <alignment horizontal="center" vertical="center" wrapText="1"/>
    </xf>
    <xf numFmtId="0" fontId="53" fillId="0" borderId="27" xfId="109" applyFont="1" applyBorder="1" applyAlignment="1">
      <alignment horizontal="left" vertical="center" wrapText="1" indent="1"/>
      <protection/>
    </xf>
    <xf numFmtId="0" fontId="53" fillId="0" borderId="22" xfId="0" applyFont="1" applyBorder="1" applyAlignment="1">
      <alignment horizontal="center" vertical="center" wrapText="1"/>
    </xf>
    <xf numFmtId="49" fontId="45" fillId="0" borderId="30" xfId="0" applyNumberFormat="1" applyFont="1" applyBorder="1" applyAlignment="1">
      <alignment horizontal="center" vertical="center" wrapText="1"/>
    </xf>
    <xf numFmtId="0" fontId="45" fillId="0" borderId="30" xfId="109" applyFont="1" applyBorder="1" applyAlignment="1">
      <alignment horizontal="left" vertical="center" wrapText="1" indent="1"/>
      <protection/>
    </xf>
    <xf numFmtId="169" fontId="45" fillId="0" borderId="47" xfId="0" applyNumberFormat="1" applyFont="1" applyBorder="1" applyAlignment="1" applyProtection="1">
      <alignment horizontal="right" vertical="center" wrapText="1" indent="1"/>
      <protection locked="0"/>
    </xf>
    <xf numFmtId="0" fontId="53" fillId="0" borderId="40" xfId="0" applyFont="1" applyBorder="1" applyAlignment="1">
      <alignment horizontal="center" vertical="center" wrapText="1"/>
    </xf>
    <xf numFmtId="49" fontId="45" fillId="0" borderId="42" xfId="0" applyNumberFormat="1" applyFont="1" applyBorder="1" applyAlignment="1">
      <alignment horizontal="center" vertical="center" wrapText="1"/>
    </xf>
    <xf numFmtId="0" fontId="45" fillId="0" borderId="48" xfId="109" applyFont="1" applyBorder="1" applyAlignment="1">
      <alignment horizontal="left" vertical="center" wrapText="1" indent="1"/>
      <protection/>
    </xf>
    <xf numFmtId="169" fontId="45" fillId="0" borderId="49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45" xfId="0" applyNumberFormat="1" applyFont="1" applyBorder="1" applyAlignment="1" applyProtection="1">
      <alignment horizontal="right" vertical="center" wrapText="1" indent="1"/>
      <protection locked="0"/>
    </xf>
    <xf numFmtId="49" fontId="53" fillId="0" borderId="27" xfId="109" applyNumberFormat="1" applyFont="1" applyBorder="1" applyAlignment="1">
      <alignment horizontal="left" vertical="center" wrapText="1" indent="1"/>
      <protection/>
    </xf>
    <xf numFmtId="0" fontId="54" fillId="0" borderId="50" xfId="0" applyFont="1" applyBorder="1" applyAlignment="1">
      <alignment horizontal="center" vertical="center" wrapText="1"/>
    </xf>
    <xf numFmtId="0" fontId="53" fillId="0" borderId="43" xfId="109" applyFont="1" applyBorder="1" applyAlignment="1">
      <alignment horizontal="left" vertical="center" wrapText="1" indent="1"/>
      <protection/>
    </xf>
    <xf numFmtId="49" fontId="45" fillId="0" borderId="30" xfId="109" applyNumberFormat="1" applyFont="1" applyBorder="1" applyAlignment="1">
      <alignment horizontal="left" vertical="center" wrapText="1" indent="1"/>
      <protection/>
    </xf>
    <xf numFmtId="0" fontId="29" fillId="0" borderId="23" xfId="0" applyFont="1" applyBorder="1" applyAlignment="1">
      <alignment vertical="center" wrapText="1"/>
    </xf>
    <xf numFmtId="49" fontId="45" fillId="0" borderId="20" xfId="109" applyNumberFormat="1" applyFont="1" applyBorder="1" applyAlignment="1">
      <alignment horizontal="left" vertical="center" wrapText="1" indent="1"/>
      <protection/>
    </xf>
    <xf numFmtId="0" fontId="45" fillId="0" borderId="20" xfId="109" applyFont="1" applyBorder="1" applyAlignment="1">
      <alignment horizontal="left" vertical="center" wrapText="1" indent="1"/>
      <protection/>
    </xf>
    <xf numFmtId="169" fontId="45" fillId="0" borderId="21" xfId="0" applyNumberFormat="1" applyFont="1" applyBorder="1" applyAlignment="1" applyProtection="1">
      <alignment horizontal="right" vertical="center" wrapText="1" indent="1"/>
      <protection locked="0"/>
    </xf>
    <xf numFmtId="0" fontId="54" fillId="0" borderId="44" xfId="0" applyFont="1" applyBorder="1" applyAlignment="1">
      <alignment horizontal="center" vertical="center" wrapText="1"/>
    </xf>
    <xf numFmtId="0" fontId="55" fillId="0" borderId="51" xfId="0" applyFont="1" applyBorder="1" applyAlignment="1">
      <alignment horizontal="center" wrapText="1"/>
    </xf>
    <xf numFmtId="0" fontId="53" fillId="0" borderId="51" xfId="109" applyFont="1" applyBorder="1" applyAlignment="1">
      <alignment horizontal="left" vertical="center" wrapText="1" indent="1"/>
      <protection/>
    </xf>
    <xf numFmtId="0" fontId="56" fillId="0" borderId="51" xfId="0" applyFont="1" applyBorder="1" applyAlignment="1">
      <alignment horizontal="center" wrapText="1"/>
    </xf>
    <xf numFmtId="0" fontId="57" fillId="0" borderId="51" xfId="0" applyFont="1" applyBorder="1" applyAlignment="1">
      <alignment horizontal="left" wrapText="1" indent="1"/>
    </xf>
    <xf numFmtId="169" fontId="53" fillId="0" borderId="52" xfId="0" applyNumberFormat="1" applyFont="1" applyBorder="1" applyAlignment="1">
      <alignment horizontal="right" vertical="center" wrapText="1" indent="1"/>
    </xf>
    <xf numFmtId="0" fontId="45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 indent="1"/>
    </xf>
    <xf numFmtId="169" fontId="53" fillId="0" borderId="0" xfId="0" applyNumberFormat="1" applyFont="1" applyAlignment="1">
      <alignment horizontal="right" vertical="center" wrapText="1" indent="1"/>
    </xf>
    <xf numFmtId="0" fontId="58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right" vertical="center" wrapText="1" indent="1"/>
    </xf>
    <xf numFmtId="0" fontId="53" fillId="0" borderId="32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53" fillId="0" borderId="27" xfId="109" applyFont="1" applyBorder="1" applyAlignment="1">
      <alignment horizontal="left" vertical="center" wrapText="1" indent="1"/>
      <protection/>
    </xf>
    <xf numFmtId="0" fontId="53" fillId="0" borderId="26" xfId="0" applyFont="1" applyBorder="1" applyAlignment="1">
      <alignment horizontal="center" vertical="center" wrapText="1"/>
    </xf>
    <xf numFmtId="49" fontId="45" fillId="0" borderId="42" xfId="109" applyNumberFormat="1" applyFont="1" applyBorder="1" applyAlignment="1">
      <alignment horizontal="left" vertical="center" wrapText="1" indent="1"/>
      <protection/>
    </xf>
    <xf numFmtId="0" fontId="53" fillId="0" borderId="19" xfId="0" applyFont="1" applyBorder="1" applyAlignment="1">
      <alignment horizontal="center" vertical="center" wrapText="1"/>
    </xf>
    <xf numFmtId="49" fontId="45" fillId="0" borderId="24" xfId="109" applyNumberFormat="1" applyFont="1" applyBorder="1" applyAlignment="1">
      <alignment horizontal="left" vertical="center" wrapText="1" indent="1"/>
      <protection/>
    </xf>
    <xf numFmtId="169" fontId="45" fillId="0" borderId="25" xfId="0" applyNumberFormat="1" applyFont="1" applyBorder="1" applyAlignment="1" applyProtection="1">
      <alignment horizontal="right" vertical="center" wrapText="1" indent="1"/>
      <protection locked="0"/>
    </xf>
    <xf numFmtId="0" fontId="45" fillId="0" borderId="27" xfId="0" applyFont="1" applyBorder="1" applyAlignment="1">
      <alignment horizontal="center" vertical="center" wrapText="1"/>
    </xf>
    <xf numFmtId="169" fontId="53" fillId="0" borderId="45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28" fillId="0" borderId="44" xfId="0" applyFont="1" applyBorder="1" applyAlignment="1">
      <alignment horizontal="left" vertical="center"/>
    </xf>
    <xf numFmtId="0" fontId="59" fillId="0" borderId="39" xfId="0" applyFont="1" applyBorder="1" applyAlignment="1">
      <alignment vertical="center" wrapText="1"/>
    </xf>
    <xf numFmtId="169" fontId="53" fillId="0" borderId="39" xfId="0" applyNumberFormat="1" applyFont="1" applyBorder="1" applyAlignment="1">
      <alignment horizontal="right" vertical="center" wrapText="1" indent="1"/>
    </xf>
    <xf numFmtId="169" fontId="49" fillId="0" borderId="28" xfId="0" applyNumberFormat="1" applyFont="1" applyBorder="1" applyAlignment="1">
      <alignment horizontal="center" vertical="center" wrapText="1"/>
    </xf>
    <xf numFmtId="169" fontId="53" fillId="0" borderId="27" xfId="0" applyNumberFormat="1" applyFont="1" applyBorder="1" applyAlignment="1">
      <alignment horizontal="right" vertical="center" wrapText="1" indent="1"/>
    </xf>
    <xf numFmtId="169" fontId="45" fillId="0" borderId="24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30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48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27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43" xfId="0" applyNumberFormat="1" applyFont="1" applyBorder="1" applyAlignment="1">
      <alignment horizontal="right" vertical="center" wrapText="1" indent="1"/>
    </xf>
    <xf numFmtId="169" fontId="45" fillId="0" borderId="20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27" xfId="0" applyNumberFormat="1" applyFont="1" applyBorder="1" applyAlignment="1">
      <alignment horizontal="right" vertical="center" wrapText="1" indent="1"/>
    </xf>
    <xf numFmtId="169" fontId="45" fillId="0" borderId="42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24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53" xfId="0" applyNumberFormat="1" applyFont="1" applyBorder="1" applyAlignment="1" applyProtection="1">
      <alignment horizontal="right" vertical="center" wrapText="1" indent="1"/>
      <protection locked="0"/>
    </xf>
    <xf numFmtId="3" fontId="28" fillId="0" borderId="52" xfId="0" applyNumberFormat="1" applyFont="1" applyBorder="1" applyAlignment="1" applyProtection="1">
      <alignment horizontal="right" vertical="center" wrapText="1" indent="1"/>
      <protection locked="0"/>
    </xf>
    <xf numFmtId="3" fontId="28" fillId="0" borderId="27" xfId="0" applyNumberFormat="1" applyFont="1" applyBorder="1" applyAlignment="1" applyProtection="1">
      <alignment horizontal="right" vertical="center" wrapText="1" indent="1"/>
      <protection locked="0"/>
    </xf>
    <xf numFmtId="169" fontId="0" fillId="0" borderId="0" xfId="0" applyNumberFormat="1" applyAlignment="1">
      <alignment vertical="center" wrapText="1"/>
    </xf>
    <xf numFmtId="0" fontId="30" fillId="0" borderId="0" xfId="109">
      <alignment/>
      <protection/>
    </xf>
    <xf numFmtId="3" fontId="45" fillId="0" borderId="0" xfId="109" applyNumberFormat="1" applyFont="1">
      <alignment/>
      <protection/>
    </xf>
    <xf numFmtId="169" fontId="45" fillId="0" borderId="0" xfId="109" applyNumberFormat="1" applyFont="1">
      <alignment/>
      <protection/>
    </xf>
    <xf numFmtId="0" fontId="53" fillId="0" borderId="44" xfId="109" applyFont="1" applyBorder="1" applyAlignment="1">
      <alignment horizontal="left" vertical="center" wrapText="1" indent="1"/>
      <protection/>
    </xf>
    <xf numFmtId="0" fontId="61" fillId="0" borderId="0" xfId="109" applyFont="1">
      <alignment/>
      <protection/>
    </xf>
    <xf numFmtId="49" fontId="45" fillId="0" borderId="0" xfId="109" applyNumberFormat="1" applyFont="1" applyAlignment="1">
      <alignment horizontal="left" vertical="center" wrapText="1" indent="1"/>
      <protection/>
    </xf>
    <xf numFmtId="0" fontId="45" fillId="0" borderId="0" xfId="109" applyFont="1" applyAlignment="1">
      <alignment horizontal="left" indent="5"/>
      <protection/>
    </xf>
    <xf numFmtId="3" fontId="45" fillId="0" borderId="0" xfId="109" applyNumberFormat="1" applyFont="1" applyAlignment="1">
      <alignment horizontal="right" vertical="center" wrapText="1"/>
      <protection/>
    </xf>
    <xf numFmtId="0" fontId="46" fillId="0" borderId="0" xfId="109" applyFont="1" applyAlignment="1">
      <alignment horizontal="center" wrapText="1"/>
      <protection/>
    </xf>
    <xf numFmtId="0" fontId="45" fillId="0" borderId="0" xfId="109" applyFont="1">
      <alignment/>
      <protection/>
    </xf>
    <xf numFmtId="49" fontId="2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49" fontId="7" fillId="0" borderId="54" xfId="0" applyNumberFormat="1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53" fillId="0" borderId="22" xfId="109" applyFont="1" applyBorder="1" applyAlignment="1">
      <alignment horizontal="left" vertical="center" wrapText="1" indent="1"/>
      <protection/>
    </xf>
    <xf numFmtId="49" fontId="53" fillId="0" borderId="19" xfId="109" applyNumberFormat="1" applyFont="1" applyBorder="1" applyAlignment="1">
      <alignment horizontal="left" vertical="center" wrapText="1" indent="1"/>
      <protection/>
    </xf>
    <xf numFmtId="49" fontId="53" fillId="0" borderId="23" xfId="109" applyNumberFormat="1" applyFont="1" applyBorder="1" applyAlignment="1">
      <alignment horizontal="left" vertical="center" wrapText="1" indent="1"/>
      <protection/>
    </xf>
    <xf numFmtId="2" fontId="35" fillId="0" borderId="48" xfId="107" applyNumberFormat="1" applyFont="1" applyBorder="1" applyAlignment="1">
      <alignment horizontal="center" vertical="center"/>
      <protection/>
    </xf>
    <xf numFmtId="169" fontId="27" fillId="0" borderId="27" xfId="109" applyNumberFormat="1" applyFont="1" applyBorder="1" applyAlignment="1">
      <alignment horizontal="right" vertical="center" wrapText="1"/>
      <protection/>
    </xf>
    <xf numFmtId="169" fontId="42" fillId="0" borderId="55" xfId="109" applyNumberFormat="1" applyFont="1" applyBorder="1" applyAlignment="1">
      <alignment horizontal="left" vertical="center"/>
      <protection/>
    </xf>
    <xf numFmtId="3" fontId="27" fillId="0" borderId="30" xfId="109" applyNumberFormat="1" applyFont="1" applyBorder="1" applyAlignment="1">
      <alignment horizontal="right" vertical="center" wrapText="1"/>
      <protection/>
    </xf>
    <xf numFmtId="3" fontId="27" fillId="0" borderId="24" xfId="109" applyNumberFormat="1" applyFont="1" applyBorder="1" applyAlignment="1">
      <alignment horizontal="right" vertical="center" wrapText="1"/>
      <protection/>
    </xf>
    <xf numFmtId="3" fontId="27" fillId="0" borderId="20" xfId="109" applyNumberFormat="1" applyFont="1" applyBorder="1" applyAlignment="1">
      <alignment horizontal="right" vertical="center" wrapText="1"/>
      <protection/>
    </xf>
    <xf numFmtId="49" fontId="43" fillId="0" borderId="19" xfId="109" applyNumberFormat="1" applyFont="1" applyBorder="1" applyAlignment="1">
      <alignment horizontal="left" vertical="center" wrapText="1"/>
      <protection/>
    </xf>
    <xf numFmtId="49" fontId="29" fillId="0" borderId="19" xfId="109" applyNumberFormat="1" applyFont="1" applyBorder="1" applyAlignment="1">
      <alignment horizontal="left"/>
      <protection/>
    </xf>
    <xf numFmtId="49" fontId="29" fillId="0" borderId="19" xfId="109" applyNumberFormat="1" applyFont="1" applyBorder="1" applyAlignment="1">
      <alignment horizontal="left" vertical="center" wrapText="1"/>
      <protection/>
    </xf>
    <xf numFmtId="0" fontId="27" fillId="0" borderId="22" xfId="109" applyFont="1" applyBorder="1" applyAlignment="1">
      <alignment horizontal="center"/>
      <protection/>
    </xf>
    <xf numFmtId="3" fontId="27" fillId="0" borderId="30" xfId="109" applyNumberFormat="1" applyFont="1" applyBorder="1">
      <alignment/>
      <protection/>
    </xf>
    <xf numFmtId="3" fontId="29" fillId="0" borderId="24" xfId="109" applyNumberFormat="1" applyFont="1" applyBorder="1">
      <alignment/>
      <protection/>
    </xf>
    <xf numFmtId="169" fontId="29" fillId="0" borderId="24" xfId="109" applyNumberFormat="1" applyFont="1" applyBorder="1">
      <alignment/>
      <protection/>
    </xf>
    <xf numFmtId="49" fontId="43" fillId="0" borderId="23" xfId="109" applyNumberFormat="1" applyFont="1" applyBorder="1" applyAlignment="1">
      <alignment horizontal="left"/>
      <protection/>
    </xf>
    <xf numFmtId="3" fontId="29" fillId="0" borderId="20" xfId="109" applyNumberFormat="1" applyFont="1" applyBorder="1">
      <alignment/>
      <protection/>
    </xf>
    <xf numFmtId="169" fontId="27" fillId="0" borderId="48" xfId="109" applyNumberFormat="1" applyFont="1" applyBorder="1" applyAlignment="1">
      <alignment horizontal="right" vertical="center" wrapText="1"/>
      <protection/>
    </xf>
    <xf numFmtId="169" fontId="27" fillId="0" borderId="30" xfId="109" applyNumberFormat="1" applyFont="1" applyBorder="1" applyAlignment="1">
      <alignment horizontal="right" vertical="center" wrapText="1"/>
      <protection/>
    </xf>
    <xf numFmtId="169" fontId="27" fillId="0" borderId="24" xfId="109" applyNumberFormat="1" applyFont="1" applyBorder="1" applyAlignment="1">
      <alignment horizontal="right" vertical="center" wrapText="1"/>
      <protection/>
    </xf>
    <xf numFmtId="3" fontId="18" fillId="0" borderId="21" xfId="106" applyNumberFormat="1" applyFont="1" applyBorder="1" applyAlignment="1">
      <alignment horizontal="right"/>
      <protection/>
    </xf>
    <xf numFmtId="0" fontId="7" fillId="0" borderId="5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169" fontId="53" fillId="0" borderId="51" xfId="0" applyNumberFormat="1" applyFont="1" applyBorder="1" applyAlignment="1" applyProtection="1">
      <alignment horizontal="right" vertical="center" wrapText="1" indent="1"/>
      <protection locked="0"/>
    </xf>
    <xf numFmtId="169" fontId="49" fillId="0" borderId="43" xfId="0" applyNumberFormat="1" applyFont="1" applyBorder="1" applyAlignment="1">
      <alignment horizontal="center" vertical="center" wrapText="1"/>
    </xf>
    <xf numFmtId="169" fontId="49" fillId="0" borderId="57" xfId="0" applyNumberFormat="1" applyFont="1" applyBorder="1" applyAlignment="1">
      <alignment horizontal="center" vertical="center" wrapText="1"/>
    </xf>
    <xf numFmtId="169" fontId="53" fillId="0" borderId="51" xfId="0" applyNumberFormat="1" applyFont="1" applyBorder="1" applyAlignment="1">
      <alignment horizontal="right" vertical="center" wrapText="1" indent="1"/>
    </xf>
    <xf numFmtId="169" fontId="53" fillId="0" borderId="58" xfId="0" applyNumberFormat="1" applyFont="1" applyBorder="1" applyAlignment="1">
      <alignment horizontal="right" vertical="center" wrapText="1" indent="1"/>
    </xf>
    <xf numFmtId="169" fontId="45" fillId="0" borderId="59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51" xfId="0" applyNumberFormat="1" applyFont="1" applyBorder="1" applyAlignment="1">
      <alignment horizontal="right" vertical="center" wrapText="1" indent="1"/>
    </xf>
    <xf numFmtId="169" fontId="49" fillId="0" borderId="60" xfId="0" applyNumberFormat="1" applyFont="1" applyBorder="1" applyAlignment="1">
      <alignment horizontal="center" vertical="center" wrapText="1"/>
    </xf>
    <xf numFmtId="169" fontId="49" fillId="0" borderId="61" xfId="0" applyNumberFormat="1" applyFont="1" applyBorder="1" applyAlignment="1">
      <alignment horizontal="center" vertical="center" wrapText="1"/>
    </xf>
    <xf numFmtId="169" fontId="53" fillId="0" borderId="62" xfId="0" applyNumberFormat="1" applyFont="1" applyBorder="1" applyAlignment="1" applyProtection="1">
      <alignment horizontal="right" vertical="center" wrapText="1" indent="1"/>
      <protection locked="0"/>
    </xf>
    <xf numFmtId="3" fontId="3" fillId="49" borderId="27" xfId="0" applyNumberFormat="1" applyFont="1" applyFill="1" applyBorder="1" applyAlignment="1">
      <alignment horizontal="right" vertical="center" wrapText="1"/>
    </xf>
    <xf numFmtId="3" fontId="7" fillId="49" borderId="42" xfId="0" applyNumberFormat="1" applyFont="1" applyFill="1" applyBorder="1" applyAlignment="1">
      <alignment horizontal="right" vertical="center" wrapText="1"/>
    </xf>
    <xf numFmtId="3" fontId="7" fillId="49" borderId="24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/>
    </xf>
    <xf numFmtId="3" fontId="3" fillId="0" borderId="42" xfId="0" applyNumberFormat="1" applyFont="1" applyBorder="1" applyAlignment="1">
      <alignment vertical="center"/>
    </xf>
    <xf numFmtId="3" fontId="7" fillId="0" borderId="42" xfId="0" applyNumberFormat="1" applyFont="1" applyBorder="1" applyAlignment="1">
      <alignment vertical="center"/>
    </xf>
    <xf numFmtId="2" fontId="33" fillId="0" borderId="0" xfId="107" applyNumberFormat="1" applyFont="1" applyAlignment="1">
      <alignment horizontal="center" vertical="center"/>
      <protection/>
    </xf>
    <xf numFmtId="1" fontId="37" fillId="0" borderId="25" xfId="107" applyNumberFormat="1" applyFont="1" applyBorder="1" applyAlignment="1">
      <alignment horizontal="center" vertical="center" wrapText="1"/>
      <protection/>
    </xf>
    <xf numFmtId="1" fontId="35" fillId="0" borderId="49" xfId="107" applyNumberFormat="1" applyFont="1" applyBorder="1" applyAlignment="1">
      <alignment horizontal="center" vertical="center"/>
      <protection/>
    </xf>
    <xf numFmtId="1" fontId="35" fillId="0" borderId="45" xfId="107" applyNumberFormat="1" applyFont="1" applyBorder="1" applyAlignment="1">
      <alignment horizontal="center" vertical="center" wrapText="1"/>
      <protection/>
    </xf>
    <xf numFmtId="0" fontId="3" fillId="0" borderId="39" xfId="0" applyFont="1" applyBorder="1" applyAlignment="1">
      <alignment horizontal="center" vertical="center" wrapText="1"/>
    </xf>
    <xf numFmtId="0" fontId="46" fillId="0" borderId="0" xfId="109" applyFont="1" applyAlignment="1">
      <alignment horizontal="center"/>
      <protection/>
    </xf>
    <xf numFmtId="0" fontId="3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3" fillId="0" borderId="63" xfId="0" applyFont="1" applyBorder="1" applyAlignment="1">
      <alignment horizontal="center" vertical="center" wrapText="1"/>
    </xf>
    <xf numFmtId="169" fontId="49" fillId="0" borderId="64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Continuous" vertical="center" wrapText="1"/>
    </xf>
    <xf numFmtId="0" fontId="12" fillId="1" borderId="26" xfId="106" applyFont="1" applyFill="1" applyBorder="1" applyAlignment="1">
      <alignment horizontal="center" vertical="center" wrapText="1"/>
      <protection/>
    </xf>
    <xf numFmtId="0" fontId="12" fillId="1" borderId="42" xfId="106" applyFont="1" applyFill="1" applyBorder="1" applyAlignment="1">
      <alignment horizontal="center" vertical="center"/>
      <protection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11" fillId="0" borderId="0" xfId="106" applyAlignment="1">
      <alignment wrapText="1"/>
      <protection/>
    </xf>
    <xf numFmtId="0" fontId="0" fillId="0" borderId="0" xfId="0" applyFont="1" applyAlignment="1">
      <alignment vertical="center" wrapText="1"/>
    </xf>
    <xf numFmtId="0" fontId="67" fillId="0" borderId="51" xfId="0" applyFont="1" applyBorder="1" applyAlignment="1">
      <alignment horizontal="center" wrapText="1"/>
    </xf>
    <xf numFmtId="0" fontId="51" fillId="0" borderId="51" xfId="0" applyFont="1" applyBorder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 indent="1"/>
    </xf>
    <xf numFmtId="169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39" xfId="0" applyFont="1" applyBorder="1" applyAlignment="1">
      <alignment horizontal="center" vertical="center" wrapText="1"/>
    </xf>
    <xf numFmtId="0" fontId="13" fillId="0" borderId="32" xfId="106" applyFont="1" applyBorder="1" applyAlignment="1">
      <alignment horizontal="center" vertical="center"/>
      <protection/>
    </xf>
    <xf numFmtId="3" fontId="13" fillId="0" borderId="26" xfId="106" applyNumberFormat="1" applyFont="1" applyBorder="1" applyAlignment="1">
      <alignment vertical="center"/>
      <protection/>
    </xf>
    <xf numFmtId="0" fontId="11" fillId="0" borderId="35" xfId="106" applyBorder="1" applyAlignment="1">
      <alignment vertical="center" wrapText="1"/>
      <protection/>
    </xf>
    <xf numFmtId="0" fontId="11" fillId="0" borderId="33" xfId="106" applyBorder="1" applyAlignment="1">
      <alignment vertical="center" wrapText="1"/>
      <protection/>
    </xf>
    <xf numFmtId="0" fontId="11" fillId="0" borderId="37" xfId="106" applyBorder="1" applyAlignment="1">
      <alignment vertical="center" wrapText="1"/>
      <protection/>
    </xf>
    <xf numFmtId="0" fontId="11" fillId="0" borderId="41" xfId="106" applyBorder="1" applyAlignment="1">
      <alignment vertical="center" wrapText="1"/>
      <protection/>
    </xf>
    <xf numFmtId="0" fontId="13" fillId="0" borderId="65" xfId="106" applyFont="1" applyBorder="1" applyAlignment="1">
      <alignment vertical="center" wrapText="1"/>
      <protection/>
    </xf>
    <xf numFmtId="0" fontId="11" fillId="0" borderId="35" xfId="106" applyBorder="1" applyAlignment="1">
      <alignment vertical="center"/>
      <protection/>
    </xf>
    <xf numFmtId="0" fontId="11" fillId="0" borderId="37" xfId="106" applyBorder="1" applyAlignment="1">
      <alignment vertical="center"/>
      <protection/>
    </xf>
    <xf numFmtId="0" fontId="13" fillId="0" borderId="32" xfId="106" applyFont="1" applyBorder="1" applyAlignment="1">
      <alignment vertical="center"/>
      <protection/>
    </xf>
    <xf numFmtId="0" fontId="17" fillId="0" borderId="32" xfId="106" applyFont="1" applyBorder="1" applyAlignment="1">
      <alignment horizontal="center" vertical="center"/>
      <protection/>
    </xf>
    <xf numFmtId="0" fontId="10" fillId="0" borderId="65" xfId="0" applyFont="1" applyBorder="1" applyAlignment="1">
      <alignment horizontal="center" vertical="center" wrapText="1"/>
    </xf>
    <xf numFmtId="0" fontId="19" fillId="0" borderId="37" xfId="106" applyFont="1" applyBorder="1" applyAlignment="1">
      <alignment vertical="center" wrapText="1"/>
      <protection/>
    </xf>
    <xf numFmtId="0" fontId="13" fillId="0" borderId="32" xfId="106" applyFont="1" applyBorder="1" applyAlignment="1">
      <alignment vertical="center" wrapText="1"/>
      <protection/>
    </xf>
    <xf numFmtId="0" fontId="38" fillId="0" borderId="65" xfId="106" applyFont="1" applyBorder="1" applyAlignment="1">
      <alignment horizontal="center" vertical="center"/>
      <protection/>
    </xf>
    <xf numFmtId="0" fontId="7" fillId="0" borderId="36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4" xfId="80" applyFont="1" applyBorder="1" applyAlignment="1" applyProtection="1">
      <alignment vertical="center" wrapText="1"/>
      <protection/>
    </xf>
    <xf numFmtId="0" fontId="7" fillId="0" borderId="38" xfId="0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45" xfId="0" applyNumberFormat="1" applyFont="1" applyBorder="1" applyAlignment="1">
      <alignment horizontal="center" vertical="center" wrapText="1"/>
    </xf>
    <xf numFmtId="3" fontId="3" fillId="0" borderId="44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39" fillId="0" borderId="44" xfId="0" applyNumberFormat="1" applyFont="1" applyBorder="1" applyAlignment="1">
      <alignment vertical="center"/>
    </xf>
    <xf numFmtId="3" fontId="39" fillId="0" borderId="27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3" fontId="3" fillId="49" borderId="44" xfId="0" applyNumberFormat="1" applyFont="1" applyFill="1" applyBorder="1" applyAlignment="1">
      <alignment horizontal="right" vertical="center" wrapText="1"/>
    </xf>
    <xf numFmtId="3" fontId="7" fillId="49" borderId="26" xfId="0" applyNumberFormat="1" applyFont="1" applyFill="1" applyBorder="1" applyAlignment="1">
      <alignment horizontal="right" vertical="center" wrapText="1"/>
    </xf>
    <xf numFmtId="3" fontId="7" fillId="49" borderId="19" xfId="0" applyNumberFormat="1" applyFont="1" applyFill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right" vertical="center"/>
    </xf>
    <xf numFmtId="3" fontId="3" fillId="0" borderId="26" xfId="0" applyNumberFormat="1" applyFont="1" applyBorder="1" applyAlignment="1">
      <alignment vertical="center"/>
    </xf>
    <xf numFmtId="0" fontId="64" fillId="0" borderId="0" xfId="107" applyFont="1" applyAlignment="1">
      <alignment horizontal="right" vertical="center"/>
      <protection/>
    </xf>
    <xf numFmtId="0" fontId="34" fillId="0" borderId="0" xfId="107" applyFont="1" applyAlignment="1">
      <alignment horizontal="center" vertical="center"/>
      <protection/>
    </xf>
    <xf numFmtId="49" fontId="0" fillId="0" borderId="56" xfId="0" applyNumberFormat="1" applyFont="1" applyBorder="1" applyAlignment="1">
      <alignment horizontal="left"/>
    </xf>
    <xf numFmtId="0" fontId="13" fillId="0" borderId="39" xfId="106" applyFont="1" applyBorder="1" applyAlignment="1">
      <alignment horizontal="center" vertical="center"/>
      <protection/>
    </xf>
    <xf numFmtId="49" fontId="3" fillId="0" borderId="66" xfId="0" applyNumberFormat="1" applyFont="1" applyBorder="1" applyAlignment="1">
      <alignment horizontal="left" vertical="center"/>
    </xf>
    <xf numFmtId="3" fontId="3" fillId="0" borderId="50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11" fillId="0" borderId="0" xfId="106" applyNumberFormat="1">
      <alignment/>
      <protection/>
    </xf>
    <xf numFmtId="10" fontId="53" fillId="0" borderId="45" xfId="0" applyNumberFormat="1" applyFont="1" applyBorder="1" applyAlignment="1">
      <alignment horizontal="right" vertical="center" wrapText="1" indent="1"/>
    </xf>
    <xf numFmtId="3" fontId="41" fillId="0" borderId="67" xfId="106" applyNumberFormat="1" applyFont="1" applyBorder="1" applyAlignment="1">
      <alignment horizontal="right"/>
      <protection/>
    </xf>
    <xf numFmtId="0" fontId="41" fillId="0" borderId="19" xfId="106" applyFont="1" applyBorder="1" applyAlignment="1">
      <alignment horizontal="right"/>
      <protection/>
    </xf>
    <xf numFmtId="3" fontId="41" fillId="0" borderId="19" xfId="106" applyNumberFormat="1" applyFont="1" applyBorder="1" applyAlignment="1">
      <alignment horizontal="right"/>
      <protection/>
    </xf>
    <xf numFmtId="3" fontId="41" fillId="0" borderId="64" xfId="106" applyNumberFormat="1" applyFont="1" applyBorder="1" applyAlignment="1">
      <alignment horizontal="right"/>
      <protection/>
    </xf>
    <xf numFmtId="0" fontId="3" fillId="0" borderId="4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Continuous" vertical="center" wrapText="1"/>
    </xf>
    <xf numFmtId="0" fontId="3" fillId="0" borderId="45" xfId="0" applyFont="1" applyBorder="1" applyAlignment="1">
      <alignment horizontal="centerContinuous" vertical="center" wrapText="1"/>
    </xf>
    <xf numFmtId="3" fontId="7" fillId="0" borderId="46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10" fontId="4" fillId="0" borderId="27" xfId="0" applyNumberFormat="1" applyFont="1" applyBorder="1" applyAlignment="1">
      <alignment vertical="center"/>
    </xf>
    <xf numFmtId="10" fontId="4" fillId="0" borderId="45" xfId="0" applyNumberFormat="1" applyFont="1" applyBorder="1" applyAlignment="1">
      <alignment vertical="center"/>
    </xf>
    <xf numFmtId="0" fontId="11" fillId="0" borderId="36" xfId="106" applyBorder="1" applyAlignment="1">
      <alignment vertical="center" wrapText="1"/>
      <protection/>
    </xf>
    <xf numFmtId="0" fontId="11" fillId="0" borderId="34" xfId="106" applyBorder="1" applyAlignment="1">
      <alignment vertical="center" wrapText="1"/>
      <protection/>
    </xf>
    <xf numFmtId="0" fontId="11" fillId="0" borderId="38" xfId="106" applyBorder="1" applyAlignment="1">
      <alignment vertical="center" wrapText="1"/>
      <protection/>
    </xf>
    <xf numFmtId="0" fontId="11" fillId="0" borderId="68" xfId="106" applyBorder="1" applyAlignment="1">
      <alignment vertical="center" wrapText="1"/>
      <protection/>
    </xf>
    <xf numFmtId="0" fontId="13" fillId="0" borderId="39" xfId="106" applyFont="1" applyBorder="1" applyAlignment="1">
      <alignment vertical="center" wrapText="1"/>
      <protection/>
    </xf>
    <xf numFmtId="0" fontId="17" fillId="0" borderId="39" xfId="106" applyFont="1" applyBorder="1" applyAlignment="1">
      <alignment horizontal="center" vertical="center" wrapText="1"/>
      <protection/>
    </xf>
    <xf numFmtId="0" fontId="11" fillId="0" borderId="54" xfId="106" applyBorder="1" applyAlignment="1">
      <alignment vertical="center" wrapText="1"/>
      <protection/>
    </xf>
    <xf numFmtId="0" fontId="13" fillId="0" borderId="39" xfId="106" applyFont="1" applyBorder="1" applyAlignment="1">
      <alignment vertical="center"/>
      <protection/>
    </xf>
    <xf numFmtId="0" fontId="11" fillId="0" borderId="38" xfId="106" applyBorder="1" applyAlignment="1">
      <alignment vertical="center"/>
      <protection/>
    </xf>
    <xf numFmtId="0" fontId="10" fillId="0" borderId="55" xfId="0" applyFont="1" applyBorder="1" applyAlignment="1">
      <alignment horizontal="center" vertical="center" wrapText="1"/>
    </xf>
    <xf numFmtId="0" fontId="38" fillId="0" borderId="39" xfId="106" applyFont="1" applyBorder="1" applyAlignment="1">
      <alignment horizontal="center" vertical="center"/>
      <protection/>
    </xf>
    <xf numFmtId="0" fontId="13" fillId="0" borderId="44" xfId="106" applyFont="1" applyBorder="1" applyAlignment="1">
      <alignment horizontal="center" vertical="center"/>
      <protection/>
    </xf>
    <xf numFmtId="0" fontId="13" fillId="0" borderId="27" xfId="106" applyFont="1" applyBorder="1" applyAlignment="1">
      <alignment horizontal="center" vertical="center"/>
      <protection/>
    </xf>
    <xf numFmtId="0" fontId="13" fillId="0" borderId="45" xfId="106" applyFont="1" applyBorder="1" applyAlignment="1">
      <alignment horizontal="center" vertical="center"/>
      <protection/>
    </xf>
    <xf numFmtId="3" fontId="11" fillId="0" borderId="26" xfId="106" applyNumberFormat="1" applyBorder="1" applyAlignment="1">
      <alignment vertical="center"/>
      <protection/>
    </xf>
    <xf numFmtId="3" fontId="11" fillId="0" borderId="19" xfId="106" applyNumberFormat="1" applyBorder="1" applyAlignment="1">
      <alignment vertical="center"/>
      <protection/>
    </xf>
    <xf numFmtId="3" fontId="11" fillId="0" borderId="29" xfId="106" applyNumberFormat="1" applyBorder="1" applyAlignment="1">
      <alignment vertical="center"/>
      <protection/>
    </xf>
    <xf numFmtId="3" fontId="11" fillId="0" borderId="23" xfId="106" applyNumberFormat="1" applyBorder="1" applyAlignment="1">
      <alignment vertical="center"/>
      <protection/>
    </xf>
    <xf numFmtId="3" fontId="11" fillId="0" borderId="40" xfId="106" applyNumberFormat="1" applyBorder="1" applyAlignment="1">
      <alignment vertical="center"/>
      <protection/>
    </xf>
    <xf numFmtId="3" fontId="13" fillId="0" borderId="29" xfId="106" applyNumberFormat="1" applyFont="1" applyBorder="1" applyAlignment="1">
      <alignment vertical="center"/>
      <protection/>
    </xf>
    <xf numFmtId="3" fontId="13" fillId="0" borderId="44" xfId="106" applyNumberFormat="1" applyFont="1" applyBorder="1" applyAlignment="1">
      <alignment vertical="center"/>
      <protection/>
    </xf>
    <xf numFmtId="3" fontId="17" fillId="0" borderId="44" xfId="106" applyNumberFormat="1" applyFont="1" applyBorder="1" applyAlignment="1">
      <alignment vertical="center"/>
      <protection/>
    </xf>
    <xf numFmtId="3" fontId="11" fillId="0" borderId="22" xfId="106" applyNumberFormat="1" applyBorder="1" applyAlignment="1">
      <alignment vertical="center"/>
      <protection/>
    </xf>
    <xf numFmtId="3" fontId="17" fillId="0" borderId="29" xfId="106" applyNumberFormat="1" applyFont="1" applyBorder="1" applyAlignment="1">
      <alignment vertical="center"/>
      <protection/>
    </xf>
    <xf numFmtId="3" fontId="17" fillId="0" borderId="40" xfId="106" applyNumberFormat="1" applyFont="1" applyBorder="1" applyAlignment="1">
      <alignment vertical="center"/>
      <protection/>
    </xf>
    <xf numFmtId="3" fontId="38" fillId="0" borderId="40" xfId="106" applyNumberFormat="1" applyFont="1" applyBorder="1" applyAlignment="1">
      <alignment vertical="center"/>
      <protection/>
    </xf>
    <xf numFmtId="3" fontId="11" fillId="0" borderId="44" xfId="106" applyNumberFormat="1" applyBorder="1" applyAlignment="1">
      <alignment vertical="center"/>
      <protection/>
    </xf>
    <xf numFmtId="3" fontId="38" fillId="0" borderId="44" xfId="106" applyNumberFormat="1" applyFont="1" applyBorder="1" applyAlignment="1">
      <alignment vertical="center"/>
      <protection/>
    </xf>
    <xf numFmtId="0" fontId="3" fillId="0" borderId="44" xfId="0" applyFont="1" applyBorder="1" applyAlignment="1">
      <alignment horizontal="centerContinuous" vertical="center" wrapText="1"/>
    </xf>
    <xf numFmtId="3" fontId="3" fillId="0" borderId="29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3" fontId="7" fillId="49" borderId="22" xfId="0" applyNumberFormat="1" applyFont="1" applyFill="1" applyBorder="1" applyAlignment="1">
      <alignment horizontal="right" vertical="center" wrapText="1"/>
    </xf>
    <xf numFmtId="3" fontId="7" fillId="49" borderId="30" xfId="0" applyNumberFormat="1" applyFont="1" applyFill="1" applyBorder="1" applyAlignment="1">
      <alignment horizontal="right" vertical="center" wrapText="1"/>
    </xf>
    <xf numFmtId="49" fontId="0" fillId="0" borderId="41" xfId="0" applyNumberFormat="1" applyFont="1" applyBorder="1" applyAlignment="1">
      <alignment horizontal="left"/>
    </xf>
    <xf numFmtId="49" fontId="7" fillId="0" borderId="69" xfId="0" applyNumberFormat="1" applyFont="1" applyBorder="1" applyAlignment="1">
      <alignment horizontal="left" vertical="center"/>
    </xf>
    <xf numFmtId="0" fontId="49" fillId="0" borderId="58" xfId="0" applyFont="1" applyBorder="1" applyAlignment="1">
      <alignment horizontal="center" vertical="center" wrapText="1"/>
    </xf>
    <xf numFmtId="0" fontId="49" fillId="0" borderId="57" xfId="0" applyFont="1" applyBorder="1" applyAlignment="1">
      <alignment horizontal="center" vertical="center" wrapText="1"/>
    </xf>
    <xf numFmtId="169" fontId="53" fillId="0" borderId="52" xfId="0" applyNumberFormat="1" applyFont="1" applyBorder="1" applyAlignment="1">
      <alignment horizontal="right" vertical="center" wrapText="1" indent="1"/>
    </xf>
    <xf numFmtId="169" fontId="53" fillId="0" borderId="52" xfId="0" applyNumberFormat="1" applyFont="1" applyBorder="1" applyAlignment="1" applyProtection="1">
      <alignment horizontal="right" vertical="center" wrapText="1" indent="1"/>
      <protection locked="0"/>
    </xf>
    <xf numFmtId="10" fontId="53" fillId="0" borderId="39" xfId="0" applyNumberFormat="1" applyFont="1" applyBorder="1" applyAlignment="1">
      <alignment horizontal="right" vertical="center" wrapText="1" indent="1"/>
    </xf>
    <xf numFmtId="10" fontId="45" fillId="0" borderId="54" xfId="0" applyNumberFormat="1" applyFont="1" applyBorder="1" applyAlignment="1">
      <alignment horizontal="right" vertical="center" wrapText="1" indent="1"/>
    </xf>
    <xf numFmtId="169" fontId="53" fillId="0" borderId="39" xfId="0" applyNumberFormat="1" applyFont="1" applyBorder="1" applyAlignment="1">
      <alignment horizontal="right" vertical="center" wrapText="1" indent="1"/>
    </xf>
    <xf numFmtId="169" fontId="49" fillId="0" borderId="29" xfId="0" applyNumberFormat="1" applyFont="1" applyBorder="1" applyAlignment="1">
      <alignment horizontal="center" vertical="center" wrapText="1"/>
    </xf>
    <xf numFmtId="169" fontId="53" fillId="0" borderId="44" xfId="0" applyNumberFormat="1" applyFont="1" applyBorder="1" applyAlignment="1">
      <alignment horizontal="right" vertical="center" wrapText="1" indent="1"/>
    </xf>
    <xf numFmtId="169" fontId="53" fillId="0" borderId="46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19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22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40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44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50" xfId="0" applyNumberFormat="1" applyFont="1" applyBorder="1" applyAlignment="1">
      <alignment horizontal="right" vertical="center" wrapText="1" indent="1"/>
    </xf>
    <xf numFmtId="169" fontId="45" fillId="0" borderId="23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44" xfId="0" applyNumberFormat="1" applyFont="1" applyBorder="1" applyAlignment="1">
      <alignment horizontal="right" vertical="center" wrapText="1" indent="1"/>
    </xf>
    <xf numFmtId="169" fontId="45" fillId="0" borderId="26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42" xfId="0" applyNumberFormat="1" applyFont="1" applyBorder="1" applyAlignment="1" applyProtection="1">
      <alignment horizontal="right" vertical="center" wrapText="1" indent="1"/>
      <protection locked="0"/>
    </xf>
    <xf numFmtId="0" fontId="53" fillId="0" borderId="63" xfId="109" applyFont="1" applyBorder="1" applyAlignment="1">
      <alignment horizontal="left" vertical="center" wrapText="1" indent="1"/>
      <protection/>
    </xf>
    <xf numFmtId="0" fontId="45" fillId="0" borderId="70" xfId="109" applyFont="1" applyBorder="1" applyAlignment="1">
      <alignment horizontal="left" vertical="center" wrapText="1" indent="1"/>
      <protection/>
    </xf>
    <xf numFmtId="0" fontId="45" fillId="0" borderId="67" xfId="109" applyFont="1" applyBorder="1" applyAlignment="1">
      <alignment horizontal="left" vertical="center" wrapText="1" indent="1"/>
      <protection/>
    </xf>
    <xf numFmtId="0" fontId="53" fillId="0" borderId="63" xfId="109" applyFont="1" applyBorder="1" applyAlignment="1">
      <alignment horizontal="left" vertical="center" wrapText="1" indent="1"/>
      <protection/>
    </xf>
    <xf numFmtId="0" fontId="53" fillId="0" borderId="39" xfId="109" applyFont="1" applyBorder="1" applyAlignment="1">
      <alignment horizontal="left" vertical="center" wrapText="1" indent="1"/>
      <protection/>
    </xf>
    <xf numFmtId="0" fontId="49" fillId="0" borderId="63" xfId="0" applyFont="1" applyBorder="1" applyAlignment="1">
      <alignment horizontal="left" vertical="center" wrapText="1" indent="1"/>
    </xf>
    <xf numFmtId="0" fontId="28" fillId="0" borderId="39" xfId="0" applyFont="1" applyBorder="1" applyAlignment="1">
      <alignment vertical="center" wrapText="1"/>
    </xf>
    <xf numFmtId="169" fontId="45" fillId="0" borderId="26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19" xfId="0" applyNumberFormat="1" applyFont="1" applyBorder="1" applyAlignment="1" applyProtection="1">
      <alignment horizontal="right" vertical="center" wrapText="1" indent="1"/>
      <protection locked="0"/>
    </xf>
    <xf numFmtId="3" fontId="28" fillId="0" borderId="45" xfId="0" applyNumberFormat="1" applyFont="1" applyBorder="1" applyAlignment="1" applyProtection="1">
      <alignment horizontal="right" vertical="center" wrapText="1" indent="1"/>
      <protection locked="0"/>
    </xf>
    <xf numFmtId="10" fontId="45" fillId="0" borderId="47" xfId="0" applyNumberFormat="1" applyFont="1" applyBorder="1" applyAlignment="1">
      <alignment horizontal="right" vertical="center" wrapText="1" indent="1"/>
    </xf>
    <xf numFmtId="0" fontId="49" fillId="0" borderId="50" xfId="0" applyFont="1" applyBorder="1" applyAlignment="1">
      <alignment horizontal="center" vertical="center" wrapText="1"/>
    </xf>
    <xf numFmtId="10" fontId="53" fillId="0" borderId="52" xfId="0" applyNumberFormat="1" applyFont="1" applyBorder="1" applyAlignment="1">
      <alignment horizontal="right" vertical="center" wrapText="1" indent="1"/>
    </xf>
    <xf numFmtId="10" fontId="45" fillId="0" borderId="71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71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71" xfId="0" applyNumberFormat="1" applyFont="1" applyBorder="1" applyAlignment="1" applyProtection="1">
      <alignment horizontal="right" vertical="center" wrapText="1" indent="1"/>
      <protection locked="0"/>
    </xf>
    <xf numFmtId="10" fontId="53" fillId="0" borderId="52" xfId="0" applyNumberFormat="1" applyFont="1" applyBorder="1" applyAlignment="1">
      <alignment horizontal="right" vertical="center" wrapText="1" indent="1"/>
    </xf>
    <xf numFmtId="0" fontId="0" fillId="0" borderId="46" xfId="0" applyBorder="1" applyAlignment="1">
      <alignment horizontal="right" vertical="center" wrapText="1" indent="1"/>
    </xf>
    <xf numFmtId="0" fontId="0" fillId="0" borderId="53" xfId="0" applyBorder="1" applyAlignment="1">
      <alignment horizontal="right" vertical="center" wrapText="1" indent="1"/>
    </xf>
    <xf numFmtId="0" fontId="0" fillId="0" borderId="62" xfId="0" applyBorder="1" applyAlignment="1">
      <alignment vertical="center" wrapText="1"/>
    </xf>
    <xf numFmtId="3" fontId="28" fillId="0" borderId="44" xfId="0" applyNumberFormat="1" applyFont="1" applyBorder="1" applyAlignment="1" applyProtection="1">
      <alignment horizontal="right" vertical="center" wrapText="1" indent="1"/>
      <protection locked="0"/>
    </xf>
    <xf numFmtId="0" fontId="49" fillId="0" borderId="72" xfId="0" applyFont="1" applyBorder="1" applyAlignment="1">
      <alignment horizontal="center" vertical="center" wrapText="1"/>
    </xf>
    <xf numFmtId="0" fontId="53" fillId="0" borderId="63" xfId="0" applyFont="1" applyBorder="1" applyAlignment="1">
      <alignment horizontal="left" vertical="center" wrapText="1" indent="1"/>
    </xf>
    <xf numFmtId="0" fontId="45" fillId="0" borderId="73" xfId="109" applyFont="1" applyBorder="1" applyAlignment="1">
      <alignment horizontal="left" vertical="center" wrapText="1" indent="1"/>
      <protection/>
    </xf>
    <xf numFmtId="0" fontId="45" fillId="0" borderId="74" xfId="109" applyFont="1" applyBorder="1" applyAlignment="1">
      <alignment horizontal="left" vertical="center" wrapText="1" indent="1"/>
      <protection/>
    </xf>
    <xf numFmtId="0" fontId="53" fillId="0" borderId="72" xfId="109" applyFont="1" applyBorder="1" applyAlignment="1">
      <alignment horizontal="left" vertical="center" wrapText="1" indent="1"/>
      <protection/>
    </xf>
    <xf numFmtId="0" fontId="45" fillId="0" borderId="75" xfId="109" applyFont="1" applyBorder="1" applyAlignment="1">
      <alignment horizontal="left" vertical="center" wrapText="1" indent="1"/>
      <protection/>
    </xf>
    <xf numFmtId="0" fontId="50" fillId="0" borderId="39" xfId="0" applyFont="1" applyBorder="1" applyAlignment="1">
      <alignment horizontal="left" wrapText="1" indent="1"/>
    </xf>
    <xf numFmtId="0" fontId="53" fillId="0" borderId="52" xfId="0" applyFont="1" applyBorder="1" applyAlignment="1">
      <alignment horizontal="center" vertical="center" wrapText="1"/>
    </xf>
    <xf numFmtId="169" fontId="49" fillId="0" borderId="76" xfId="0" applyNumberFormat="1" applyFont="1" applyBorder="1" applyAlignment="1">
      <alignment horizontal="center" vertical="center" wrapText="1"/>
    </xf>
    <xf numFmtId="10" fontId="45" fillId="0" borderId="34" xfId="0" applyNumberFormat="1" applyFont="1" applyBorder="1" applyAlignment="1">
      <alignment horizontal="right" vertical="center" wrapText="1" indent="1"/>
    </xf>
    <xf numFmtId="169" fontId="45" fillId="0" borderId="36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34" xfId="0" applyNumberFormat="1" applyFont="1" applyBorder="1" applyAlignment="1" applyProtection="1">
      <alignment horizontal="right" vertical="center" wrapText="1" indent="1"/>
      <protection locked="0"/>
    </xf>
    <xf numFmtId="169" fontId="49" fillId="0" borderId="53" xfId="0" applyNumberFormat="1" applyFont="1" applyBorder="1" applyAlignment="1">
      <alignment horizontal="center" vertical="center" wrapText="1"/>
    </xf>
    <xf numFmtId="10" fontId="45" fillId="0" borderId="25" xfId="0" applyNumberFormat="1" applyFont="1" applyBorder="1" applyAlignment="1">
      <alignment horizontal="right" vertical="center" wrapText="1" indent="1"/>
    </xf>
    <xf numFmtId="169" fontId="49" fillId="0" borderId="50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 horizontal="right" vertical="center" wrapText="1" indent="1"/>
    </xf>
    <xf numFmtId="0" fontId="0" fillId="0" borderId="53" xfId="0" applyFont="1" applyBorder="1" applyAlignment="1">
      <alignment horizontal="right" vertical="center" wrapText="1" indent="1"/>
    </xf>
    <xf numFmtId="0" fontId="0" fillId="0" borderId="62" xfId="0" applyFont="1" applyBorder="1" applyAlignment="1">
      <alignment horizontal="right" vertical="center" wrapText="1" indent="1"/>
    </xf>
    <xf numFmtId="0" fontId="28" fillId="0" borderId="52" xfId="0" applyFont="1" applyBorder="1" applyAlignment="1">
      <alignment vertical="center"/>
    </xf>
    <xf numFmtId="10" fontId="53" fillId="0" borderId="49" xfId="0" applyNumberFormat="1" applyFont="1" applyBorder="1" applyAlignment="1">
      <alignment horizontal="right" vertical="center" wrapText="1" indent="1"/>
    </xf>
    <xf numFmtId="169" fontId="53" fillId="0" borderId="77" xfId="0" applyNumberFormat="1" applyFont="1" applyBorder="1" applyAlignment="1">
      <alignment horizontal="right" vertical="center" wrapText="1" indent="1"/>
    </xf>
    <xf numFmtId="169" fontId="45" fillId="0" borderId="78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78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77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77" xfId="0" applyNumberFormat="1" applyFont="1" applyBorder="1" applyAlignment="1">
      <alignment horizontal="right" vertical="center" wrapText="1" indent="1"/>
    </xf>
    <xf numFmtId="0" fontId="0" fillId="0" borderId="79" xfId="0" applyFont="1" applyBorder="1" applyAlignment="1">
      <alignment horizontal="right" vertical="center" wrapText="1" indent="1"/>
    </xf>
    <xf numFmtId="3" fontId="28" fillId="0" borderId="77" xfId="0" applyNumberFormat="1" applyFont="1" applyBorder="1" applyAlignment="1" applyProtection="1">
      <alignment horizontal="right" vertical="center" wrapText="1" indent="1"/>
      <protection locked="0"/>
    </xf>
    <xf numFmtId="49" fontId="53" fillId="0" borderId="27" xfId="0" applyNumberFormat="1" applyFont="1" applyBorder="1" applyAlignment="1">
      <alignment horizontal="right" vertical="center" wrapText="1" indent="1"/>
    </xf>
    <xf numFmtId="49" fontId="45" fillId="0" borderId="24" xfId="0" applyNumberFormat="1" applyFont="1" applyBorder="1" applyAlignment="1" applyProtection="1">
      <alignment horizontal="right" vertical="center" wrapText="1" indent="1"/>
      <protection locked="0"/>
    </xf>
    <xf numFmtId="49" fontId="45" fillId="0" borderId="30" xfId="0" applyNumberFormat="1" applyFont="1" applyBorder="1" applyAlignment="1" applyProtection="1">
      <alignment horizontal="right" vertical="center" wrapText="1" indent="1"/>
      <protection locked="0"/>
    </xf>
    <xf numFmtId="49" fontId="45" fillId="0" borderId="48" xfId="0" applyNumberFormat="1" applyFont="1" applyBorder="1" applyAlignment="1" applyProtection="1">
      <alignment horizontal="right" vertical="center" wrapText="1" indent="1"/>
      <protection locked="0"/>
    </xf>
    <xf numFmtId="49" fontId="53" fillId="0" borderId="27" xfId="0" applyNumberFormat="1" applyFont="1" applyBorder="1" applyAlignment="1" applyProtection="1">
      <alignment horizontal="right" vertical="center" wrapText="1" indent="1"/>
      <protection locked="0"/>
    </xf>
    <xf numFmtId="49" fontId="53" fillId="0" borderId="43" xfId="0" applyNumberFormat="1" applyFont="1" applyBorder="1" applyAlignment="1">
      <alignment horizontal="right" vertical="center" wrapText="1" indent="1"/>
    </xf>
    <xf numFmtId="49" fontId="45" fillId="0" borderId="20" xfId="0" applyNumberFormat="1" applyFont="1" applyBorder="1" applyAlignment="1" applyProtection="1">
      <alignment horizontal="right" vertical="center" wrapText="1" indent="1"/>
      <protection locked="0"/>
    </xf>
    <xf numFmtId="49" fontId="53" fillId="0" borderId="27" xfId="0" applyNumberFormat="1" applyFont="1" applyBorder="1" applyAlignment="1">
      <alignment horizontal="right" vertical="center" wrapText="1" indent="1"/>
    </xf>
    <xf numFmtId="49" fontId="53" fillId="0" borderId="45" xfId="0" applyNumberFormat="1" applyFont="1" applyBorder="1" applyAlignment="1">
      <alignment horizontal="right" vertical="center" wrapText="1" indent="1"/>
    </xf>
    <xf numFmtId="49" fontId="45" fillId="0" borderId="59" xfId="0" applyNumberFormat="1" applyFont="1" applyBorder="1" applyAlignment="1" applyProtection="1">
      <alignment horizontal="right" vertical="center" wrapText="1" indent="1"/>
      <protection locked="0"/>
    </xf>
    <xf numFmtId="49" fontId="45" fillId="0" borderId="25" xfId="0" applyNumberFormat="1" applyFont="1" applyBorder="1" applyAlignment="1" applyProtection="1">
      <alignment horizontal="right" vertical="center" wrapText="1" indent="1"/>
      <protection locked="0"/>
    </xf>
    <xf numFmtId="49" fontId="53" fillId="0" borderId="45" xfId="0" applyNumberFormat="1" applyFont="1" applyBorder="1" applyAlignment="1" applyProtection="1">
      <alignment horizontal="right" vertical="center" wrapText="1" indent="1"/>
      <protection locked="0"/>
    </xf>
    <xf numFmtId="49" fontId="53" fillId="0" borderId="45" xfId="0" applyNumberFormat="1" applyFont="1" applyBorder="1" applyAlignment="1">
      <alignment horizontal="right" vertical="center" wrapText="1" indent="1"/>
    </xf>
    <xf numFmtId="49" fontId="0" fillId="0" borderId="62" xfId="0" applyNumberFormat="1" applyFont="1" applyBorder="1" applyAlignment="1">
      <alignment horizontal="right" vertical="center" wrapText="1" indent="1"/>
    </xf>
    <xf numFmtId="49" fontId="28" fillId="0" borderId="45" xfId="0" applyNumberFormat="1" applyFont="1" applyBorder="1" applyAlignment="1" applyProtection="1">
      <alignment horizontal="right" vertical="center" wrapText="1" indent="1"/>
      <protection locked="0"/>
    </xf>
    <xf numFmtId="0" fontId="36" fillId="0" borderId="23" xfId="107" applyFont="1" applyBorder="1" applyAlignment="1">
      <alignment horizontal="center" vertical="center" wrapText="1"/>
      <protection/>
    </xf>
    <xf numFmtId="0" fontId="11" fillId="0" borderId="56" xfId="106" applyBorder="1">
      <alignment/>
      <protection/>
    </xf>
    <xf numFmtId="0" fontId="12" fillId="1" borderId="42" xfId="106" applyFont="1" applyFill="1" applyBorder="1" applyAlignment="1">
      <alignment horizontal="center" vertical="center" wrapText="1"/>
      <protection/>
    </xf>
    <xf numFmtId="0" fontId="7" fillId="0" borderId="34" xfId="0" applyFont="1" applyBorder="1" applyAlignment="1">
      <alignment horizontal="left" wrapText="1"/>
    </xf>
    <xf numFmtId="3" fontId="7" fillId="0" borderId="23" xfId="0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/>
    </xf>
    <xf numFmtId="3" fontId="2" fillId="0" borderId="44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10" fontId="2" fillId="0" borderId="27" xfId="0" applyNumberFormat="1" applyFont="1" applyBorder="1" applyAlignment="1">
      <alignment vertical="center"/>
    </xf>
    <xf numFmtId="49" fontId="3" fillId="0" borderId="69" xfId="0" applyNumberFormat="1" applyFont="1" applyBorder="1" applyAlignment="1">
      <alignment horizontal="left" vertical="center"/>
    </xf>
    <xf numFmtId="0" fontId="3" fillId="0" borderId="69" xfId="0" applyFont="1" applyBorder="1" applyAlignment="1">
      <alignment horizontal="center" vertical="center" wrapText="1"/>
    </xf>
    <xf numFmtId="0" fontId="0" fillId="0" borderId="69" xfId="0" applyFont="1" applyBorder="1" applyAlignment="1">
      <alignment/>
    </xf>
    <xf numFmtId="10" fontId="2" fillId="0" borderId="45" xfId="0" applyNumberFormat="1" applyFont="1" applyBorder="1" applyAlignment="1">
      <alignment vertical="center"/>
    </xf>
    <xf numFmtId="49" fontId="3" fillId="0" borderId="69" xfId="0" applyNumberFormat="1" applyFont="1" applyBorder="1" applyAlignment="1">
      <alignment horizontal="center" vertical="center"/>
    </xf>
    <xf numFmtId="3" fontId="2" fillId="0" borderId="69" xfId="0" applyNumberFormat="1" applyFont="1" applyBorder="1" applyAlignment="1">
      <alignment vertical="center"/>
    </xf>
    <xf numFmtId="3" fontId="7" fillId="0" borderId="69" xfId="0" applyNumberFormat="1" applyFont="1" applyBorder="1" applyAlignment="1">
      <alignment vertical="center"/>
    </xf>
    <xf numFmtId="0" fontId="1" fillId="0" borderId="0" xfId="105">
      <alignment/>
      <protection/>
    </xf>
    <xf numFmtId="0" fontId="1" fillId="0" borderId="0" xfId="105" applyAlignment="1">
      <alignment wrapText="1"/>
      <protection/>
    </xf>
    <xf numFmtId="0" fontId="69" fillId="0" borderId="0" xfId="105" applyFont="1" applyAlignment="1">
      <alignment horizontal="center" vertical="center"/>
      <protection/>
    </xf>
    <xf numFmtId="0" fontId="50" fillId="0" borderId="32" xfId="105" applyFont="1" applyBorder="1" applyAlignment="1">
      <alignment horizontal="center" vertical="center" wrapText="1"/>
      <protection/>
    </xf>
    <xf numFmtId="0" fontId="66" fillId="0" borderId="19" xfId="105" applyFont="1" applyBorder="1">
      <alignment/>
      <protection/>
    </xf>
    <xf numFmtId="0" fontId="58" fillId="0" borderId="0" xfId="105" applyFont="1" applyAlignment="1">
      <alignment vertical="center"/>
      <protection/>
    </xf>
    <xf numFmtId="0" fontId="1" fillId="0" borderId="19" xfId="105" applyBorder="1">
      <alignment/>
      <protection/>
    </xf>
    <xf numFmtId="0" fontId="66" fillId="0" borderId="33" xfId="105" applyFont="1" applyBorder="1">
      <alignment/>
      <protection/>
    </xf>
    <xf numFmtId="0" fontId="66" fillId="0" borderId="37" xfId="105" applyFont="1" applyBorder="1">
      <alignment/>
      <protection/>
    </xf>
    <xf numFmtId="0" fontId="66" fillId="0" borderId="32" xfId="105" applyFont="1" applyBorder="1" applyAlignment="1">
      <alignment vertical="center"/>
      <protection/>
    </xf>
    <xf numFmtId="0" fontId="1" fillId="0" borderId="0" xfId="105" applyAlignment="1">
      <alignment vertical="center"/>
      <protection/>
    </xf>
    <xf numFmtId="0" fontId="66" fillId="0" borderId="35" xfId="105" applyFont="1" applyBorder="1">
      <alignment/>
      <protection/>
    </xf>
    <xf numFmtId="0" fontId="66" fillId="0" borderId="56" xfId="105" applyFont="1" applyBorder="1">
      <alignment/>
      <protection/>
    </xf>
    <xf numFmtId="0" fontId="66" fillId="0" borderId="0" xfId="105" applyFont="1">
      <alignment/>
      <protection/>
    </xf>
    <xf numFmtId="0" fontId="66" fillId="0" borderId="0" xfId="105" applyFont="1" applyAlignment="1">
      <alignment vertical="center"/>
      <protection/>
    </xf>
    <xf numFmtId="0" fontId="66" fillId="0" borderId="32" xfId="105" applyFont="1" applyBorder="1">
      <alignment/>
      <protection/>
    </xf>
    <xf numFmtId="0" fontId="70" fillId="0" borderId="41" xfId="105" applyFont="1" applyBorder="1" applyAlignment="1">
      <alignment vertical="center"/>
      <protection/>
    </xf>
    <xf numFmtId="0" fontId="50" fillId="0" borderId="27" xfId="105" applyFont="1" applyBorder="1" applyAlignment="1">
      <alignment horizontal="center" vertical="center" wrapText="1"/>
      <protection/>
    </xf>
    <xf numFmtId="3" fontId="66" fillId="0" borderId="42" xfId="105" applyNumberFormat="1" applyFont="1" applyBorder="1" applyAlignment="1">
      <alignment horizontal="right"/>
      <protection/>
    </xf>
    <xf numFmtId="3" fontId="1" fillId="0" borderId="24" xfId="105" applyNumberFormat="1" applyBorder="1" applyAlignment="1">
      <alignment horizontal="right"/>
      <protection/>
    </xf>
    <xf numFmtId="3" fontId="66" fillId="0" borderId="24" xfId="105" applyNumberFormat="1" applyFont="1" applyBorder="1" applyAlignment="1">
      <alignment horizontal="right"/>
      <protection/>
    </xf>
    <xf numFmtId="3" fontId="66" fillId="0" borderId="27" xfId="105" applyNumberFormat="1" applyFont="1" applyBorder="1" applyAlignment="1">
      <alignment horizontal="right" vertical="center"/>
      <protection/>
    </xf>
    <xf numFmtId="3" fontId="66" fillId="0" borderId="27" xfId="105" applyNumberFormat="1" applyFont="1" applyBorder="1" applyAlignment="1">
      <alignment vertical="center"/>
      <protection/>
    </xf>
    <xf numFmtId="3" fontId="66" fillId="0" borderId="42" xfId="105" applyNumberFormat="1" applyFont="1" applyBorder="1">
      <alignment/>
      <protection/>
    </xf>
    <xf numFmtId="3" fontId="1" fillId="0" borderId="24" xfId="105" applyNumberFormat="1" applyBorder="1">
      <alignment/>
      <protection/>
    </xf>
    <xf numFmtId="3" fontId="66" fillId="0" borderId="27" xfId="105" applyNumberFormat="1" applyFont="1" applyBorder="1">
      <alignment/>
      <protection/>
    </xf>
    <xf numFmtId="3" fontId="66" fillId="0" borderId="24" xfId="105" applyNumberFormat="1" applyFont="1" applyBorder="1">
      <alignment/>
      <protection/>
    </xf>
    <xf numFmtId="3" fontId="66" fillId="0" borderId="28" xfId="105" applyNumberFormat="1" applyFont="1" applyBorder="1">
      <alignment/>
      <protection/>
    </xf>
    <xf numFmtId="3" fontId="70" fillId="0" borderId="20" xfId="105" applyNumberFormat="1" applyFont="1" applyBorder="1" applyAlignment="1">
      <alignment vertical="center"/>
      <protection/>
    </xf>
    <xf numFmtId="169" fontId="53" fillId="0" borderId="57" xfId="0" applyNumberFormat="1" applyFont="1" applyBorder="1" applyAlignment="1">
      <alignment horizontal="right" vertical="center" wrapText="1" indent="1"/>
    </xf>
    <xf numFmtId="0" fontId="53" fillId="0" borderId="46" xfId="0" applyFont="1" applyBorder="1" applyAlignment="1">
      <alignment horizontal="center" vertical="center" wrapText="1"/>
    </xf>
    <xf numFmtId="49" fontId="45" fillId="0" borderId="53" xfId="109" applyNumberFormat="1" applyFont="1" applyBorder="1" applyAlignment="1">
      <alignment horizontal="left" vertical="center" wrapText="1" indent="1"/>
      <protection/>
    </xf>
    <xf numFmtId="169" fontId="45" fillId="0" borderId="46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53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46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53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62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62" xfId="0" applyNumberFormat="1" applyFont="1" applyBorder="1" applyAlignment="1" applyProtection="1">
      <alignment horizontal="right" vertical="center" wrapText="1" indent="1"/>
      <protection locked="0"/>
    </xf>
    <xf numFmtId="49" fontId="0" fillId="0" borderId="80" xfId="0" applyNumberFormat="1" applyFont="1" applyBorder="1" applyAlignment="1">
      <alignment horizontal="left"/>
    </xf>
    <xf numFmtId="49" fontId="7" fillId="0" borderId="68" xfId="0" applyNumberFormat="1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13" fillId="0" borderId="55" xfId="106" applyFont="1" applyBorder="1" applyAlignment="1">
      <alignment vertical="center" wrapText="1"/>
      <protection/>
    </xf>
    <xf numFmtId="49" fontId="7" fillId="0" borderId="41" xfId="0" applyNumberFormat="1" applyFont="1" applyBorder="1" applyAlignment="1">
      <alignment horizontal="left" vertical="center"/>
    </xf>
    <xf numFmtId="49" fontId="7" fillId="0" borderId="68" xfId="0" applyNumberFormat="1" applyFont="1" applyBorder="1" applyAlignment="1">
      <alignment horizontal="center" vertical="center"/>
    </xf>
    <xf numFmtId="49" fontId="7" fillId="0" borderId="68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vertical="center"/>
    </xf>
    <xf numFmtId="0" fontId="1" fillId="0" borderId="33" xfId="105" applyBorder="1">
      <alignment/>
      <protection/>
    </xf>
    <xf numFmtId="0" fontId="66" fillId="0" borderId="41" xfId="105" applyFont="1" applyBorder="1">
      <alignment/>
      <protection/>
    </xf>
    <xf numFmtId="3" fontId="66" fillId="0" borderId="20" xfId="105" applyNumberFormat="1" applyFont="1" applyBorder="1">
      <alignment/>
      <protection/>
    </xf>
    <xf numFmtId="3" fontId="66" fillId="0" borderId="20" xfId="105" applyNumberFormat="1" applyFont="1" applyBorder="1" applyAlignment="1">
      <alignment horizontal="right"/>
      <protection/>
    </xf>
    <xf numFmtId="0" fontId="15" fillId="0" borderId="19" xfId="106" applyFont="1" applyBorder="1" applyAlignment="1">
      <alignment horizontal="right" wrapText="1"/>
      <protection/>
    </xf>
    <xf numFmtId="0" fontId="71" fillId="0" borderId="0" xfId="106" applyFont="1" applyAlignment="1">
      <alignment horizontal="right"/>
      <protection/>
    </xf>
    <xf numFmtId="0" fontId="72" fillId="0" borderId="0" xfId="106" applyFont="1" applyAlignment="1">
      <alignment horizontal="center"/>
      <protection/>
    </xf>
    <xf numFmtId="0" fontId="73" fillId="0" borderId="0" xfId="106" applyFont="1" applyAlignment="1">
      <alignment horizontal="center"/>
      <protection/>
    </xf>
    <xf numFmtId="0" fontId="19" fillId="0" borderId="0" xfId="106" applyFont="1" applyAlignment="1">
      <alignment horizontal="center"/>
      <protection/>
    </xf>
    <xf numFmtId="0" fontId="19" fillId="0" borderId="0" xfId="108">
      <alignment/>
      <protection/>
    </xf>
    <xf numFmtId="0" fontId="71" fillId="0" borderId="0" xfId="106" applyFont="1">
      <alignment/>
      <protection/>
    </xf>
    <xf numFmtId="0" fontId="13" fillId="0" borderId="44" xfId="106" applyFont="1" applyBorder="1" applyAlignment="1">
      <alignment horizontal="center" vertical="center" wrapText="1"/>
      <protection/>
    </xf>
    <xf numFmtId="0" fontId="11" fillId="0" borderId="56" xfId="106" applyBorder="1" applyAlignment="1">
      <alignment vertical="center" wrapText="1"/>
      <protection/>
    </xf>
    <xf numFmtId="0" fontId="11" fillId="0" borderId="0" xfId="106" applyAlignment="1">
      <alignment vertical="center" wrapText="1"/>
      <protection/>
    </xf>
    <xf numFmtId="168" fontId="74" fillId="0" borderId="69" xfId="108" applyNumberFormat="1" applyFont="1" applyBorder="1" applyAlignment="1">
      <alignment horizontal="center" vertical="center" wrapText="1"/>
      <protection/>
    </xf>
    <xf numFmtId="3" fontId="74" fillId="0" borderId="50" xfId="108" applyNumberFormat="1" applyFont="1" applyBorder="1" applyAlignment="1">
      <alignment horizontal="center" vertical="center" wrapText="1"/>
      <protection/>
    </xf>
    <xf numFmtId="3" fontId="74" fillId="0" borderId="43" xfId="108" applyNumberFormat="1" applyFont="1" applyBorder="1" applyAlignment="1">
      <alignment horizontal="center" vertical="center" wrapText="1"/>
      <protection/>
    </xf>
    <xf numFmtId="3" fontId="74" fillId="0" borderId="57" xfId="108" applyNumberFormat="1" applyFont="1" applyBorder="1" applyAlignment="1">
      <alignment horizontal="center" vertical="center" wrapText="1"/>
      <protection/>
    </xf>
    <xf numFmtId="3" fontId="76" fillId="0" borderId="22" xfId="108" applyNumberFormat="1" applyFont="1" applyBorder="1" applyAlignment="1">
      <alignment vertical="top"/>
      <protection/>
    </xf>
    <xf numFmtId="3" fontId="76" fillId="0" borderId="30" xfId="108" applyNumberFormat="1" applyFont="1" applyBorder="1" applyAlignment="1">
      <alignment vertical="top"/>
      <protection/>
    </xf>
    <xf numFmtId="10" fontId="76" fillId="0" borderId="47" xfId="108" applyNumberFormat="1" applyFont="1" applyBorder="1" applyAlignment="1">
      <alignment vertical="top"/>
      <protection/>
    </xf>
    <xf numFmtId="3" fontId="76" fillId="0" borderId="47" xfId="108" applyNumberFormat="1" applyFont="1" applyBorder="1" applyAlignment="1">
      <alignment vertical="top"/>
      <protection/>
    </xf>
    <xf numFmtId="3" fontId="76" fillId="0" borderId="19" xfId="108" applyNumberFormat="1" applyFont="1" applyBorder="1" applyAlignment="1">
      <alignment vertical="top"/>
      <protection/>
    </xf>
    <xf numFmtId="3" fontId="76" fillId="0" borderId="24" xfId="108" applyNumberFormat="1" applyFont="1" applyBorder="1" applyAlignment="1">
      <alignment vertical="top"/>
      <protection/>
    </xf>
    <xf numFmtId="10" fontId="76" fillId="0" borderId="25" xfId="108" applyNumberFormat="1" applyFont="1" applyBorder="1" applyAlignment="1">
      <alignment vertical="top"/>
      <protection/>
    </xf>
    <xf numFmtId="3" fontId="76" fillId="0" borderId="25" xfId="108" applyNumberFormat="1" applyFont="1" applyBorder="1" applyAlignment="1">
      <alignment vertical="top"/>
      <protection/>
    </xf>
    <xf numFmtId="3" fontId="76" fillId="0" borderId="19" xfId="108" applyNumberFormat="1" applyFont="1" applyBorder="1">
      <alignment/>
      <protection/>
    </xf>
    <xf numFmtId="3" fontId="76" fillId="0" borderId="24" xfId="108" applyNumberFormat="1" applyFont="1" applyBorder="1">
      <alignment/>
      <protection/>
    </xf>
    <xf numFmtId="3" fontId="76" fillId="0" borderId="25" xfId="108" applyNumberFormat="1" applyFont="1" applyBorder="1">
      <alignment/>
      <protection/>
    </xf>
    <xf numFmtId="0" fontId="11" fillId="0" borderId="44" xfId="106" applyBorder="1" applyAlignment="1">
      <alignment horizontal="center" vertical="center"/>
      <protection/>
    </xf>
    <xf numFmtId="3" fontId="77" fillId="0" borderId="44" xfId="108" applyNumberFormat="1" applyFont="1" applyBorder="1" applyAlignment="1">
      <alignment vertical="center"/>
      <protection/>
    </xf>
    <xf numFmtId="3" fontId="77" fillId="0" borderId="27" xfId="108" applyNumberFormat="1" applyFont="1" applyBorder="1" applyAlignment="1">
      <alignment vertical="center"/>
      <protection/>
    </xf>
    <xf numFmtId="10" fontId="77" fillId="0" borderId="45" xfId="108" applyNumberFormat="1" applyFont="1" applyBorder="1" applyAlignment="1">
      <alignment vertical="center"/>
      <protection/>
    </xf>
    <xf numFmtId="3" fontId="17" fillId="0" borderId="0" xfId="106" applyNumberFormat="1" applyFont="1" applyAlignment="1">
      <alignment horizontal="right" vertical="center"/>
      <protection/>
    </xf>
    <xf numFmtId="0" fontId="79" fillId="0" borderId="0" xfId="106" applyFont="1" applyAlignment="1">
      <alignment vertical="center"/>
      <protection/>
    </xf>
    <xf numFmtId="0" fontId="80" fillId="0" borderId="56" xfId="106" applyFont="1" applyBorder="1" applyAlignment="1">
      <alignment vertical="center"/>
      <protection/>
    </xf>
    <xf numFmtId="0" fontId="23" fillId="50" borderId="53" xfId="106" applyFont="1" applyFill="1" applyBorder="1" applyAlignment="1">
      <alignment horizontal="center" vertical="center" wrapText="1"/>
      <protection/>
    </xf>
    <xf numFmtId="0" fontId="11" fillId="0" borderId="56" xfId="106" applyBorder="1" applyAlignment="1">
      <alignment vertical="center"/>
      <protection/>
    </xf>
    <xf numFmtId="0" fontId="23" fillId="50" borderId="37" xfId="106" applyFont="1" applyFill="1" applyBorder="1" applyAlignment="1">
      <alignment horizontal="center" vertical="center" wrapText="1"/>
      <protection/>
    </xf>
    <xf numFmtId="3" fontId="23" fillId="50" borderId="81" xfId="106" applyNumberFormat="1" applyFont="1" applyFill="1" applyBorder="1" applyAlignment="1">
      <alignment horizontal="center" vertical="center" wrapText="1"/>
      <protection/>
    </xf>
    <xf numFmtId="3" fontId="23" fillId="50" borderId="82" xfId="106" applyNumberFormat="1" applyFont="1" applyFill="1" applyBorder="1" applyAlignment="1">
      <alignment horizontal="center" vertical="center" wrapText="1"/>
      <protection/>
    </xf>
    <xf numFmtId="3" fontId="23" fillId="50" borderId="83" xfId="106" applyNumberFormat="1" applyFont="1" applyFill="1" applyBorder="1" applyAlignment="1">
      <alignment horizontal="center" vertical="center" wrapText="1"/>
      <protection/>
    </xf>
    <xf numFmtId="0" fontId="75" fillId="0" borderId="33" xfId="0" applyFont="1" applyBorder="1" applyAlignment="1">
      <alignment vertical="center" wrapText="1"/>
    </xf>
    <xf numFmtId="0" fontId="75" fillId="0" borderId="24" xfId="0" applyFont="1" applyBorder="1" applyAlignment="1">
      <alignment horizontal="center" vertical="center" wrapText="1"/>
    </xf>
    <xf numFmtId="3" fontId="32" fillId="0" borderId="24" xfId="106" applyNumberFormat="1" applyFont="1" applyBorder="1" applyAlignment="1">
      <alignment horizontal="right" vertical="center" wrapText="1"/>
      <protection/>
    </xf>
    <xf numFmtId="3" fontId="32" fillId="0" borderId="42" xfId="106" applyNumberFormat="1" applyFont="1" applyBorder="1" applyAlignment="1">
      <alignment horizontal="right" vertical="center" wrapText="1"/>
      <protection/>
    </xf>
    <xf numFmtId="10" fontId="32" fillId="0" borderId="42" xfId="106" applyNumberFormat="1" applyFont="1" applyBorder="1" applyAlignment="1">
      <alignment horizontal="right" vertical="center" wrapText="1"/>
      <protection/>
    </xf>
    <xf numFmtId="10" fontId="32" fillId="0" borderId="24" xfId="106" applyNumberFormat="1" applyFont="1" applyBorder="1" applyAlignment="1">
      <alignment horizontal="right" vertical="center" wrapText="1"/>
      <protection/>
    </xf>
    <xf numFmtId="10" fontId="32" fillId="0" borderId="25" xfId="106" applyNumberFormat="1" applyFont="1" applyBorder="1" applyAlignment="1">
      <alignment horizontal="right" vertical="center" wrapText="1"/>
      <protection/>
    </xf>
    <xf numFmtId="3" fontId="32" fillId="0" borderId="24" xfId="106" applyNumberFormat="1" applyFont="1" applyBorder="1" applyAlignment="1">
      <alignment vertical="center"/>
      <protection/>
    </xf>
    <xf numFmtId="3" fontId="23" fillId="50" borderId="84" xfId="106" applyNumberFormat="1" applyFont="1" applyFill="1" applyBorder="1" applyAlignment="1">
      <alignment horizontal="center" vertical="center" wrapText="1"/>
      <protection/>
    </xf>
    <xf numFmtId="3" fontId="23" fillId="50" borderId="85" xfId="106" applyNumberFormat="1" applyFont="1" applyFill="1" applyBorder="1" applyAlignment="1">
      <alignment horizontal="center" vertical="center" wrapText="1"/>
      <protection/>
    </xf>
    <xf numFmtId="3" fontId="38" fillId="50" borderId="85" xfId="106" applyNumberFormat="1" applyFont="1" applyFill="1" applyBorder="1" applyAlignment="1">
      <alignment horizontal="right" vertical="center" wrapText="1"/>
      <protection/>
    </xf>
    <xf numFmtId="10" fontId="38" fillId="50" borderId="85" xfId="106" applyNumberFormat="1" applyFont="1" applyFill="1" applyBorder="1" applyAlignment="1">
      <alignment horizontal="right" vertical="center" wrapText="1"/>
      <protection/>
    </xf>
    <xf numFmtId="3" fontId="23" fillId="0" borderId="0" xfId="106" applyNumberFormat="1" applyFont="1" applyAlignment="1">
      <alignment horizontal="center" vertical="center" wrapText="1"/>
      <protection/>
    </xf>
    <xf numFmtId="3" fontId="38" fillId="0" borderId="0" xfId="106" applyNumberFormat="1" applyFont="1" applyAlignment="1">
      <alignment horizontal="right" vertical="center" wrapText="1"/>
      <protection/>
    </xf>
    <xf numFmtId="0" fontId="80" fillId="0" borderId="0" xfId="106" applyFont="1" applyAlignment="1">
      <alignment vertical="center"/>
      <protection/>
    </xf>
    <xf numFmtId="0" fontId="23" fillId="50" borderId="86" xfId="106" applyFont="1" applyFill="1" applyBorder="1" applyAlignment="1">
      <alignment horizontal="center" vertical="center" wrapText="1"/>
      <protection/>
    </xf>
    <xf numFmtId="0" fontId="23" fillId="50" borderId="82" xfId="106" applyFont="1" applyFill="1" applyBorder="1" applyAlignment="1">
      <alignment horizontal="center" vertical="center" wrapText="1"/>
      <protection/>
    </xf>
    <xf numFmtId="0" fontId="75" fillId="0" borderId="35" xfId="0" applyFont="1" applyBorder="1" applyAlignment="1">
      <alignment vertical="center" wrapText="1"/>
    </xf>
    <xf numFmtId="0" fontId="75" fillId="0" borderId="42" xfId="0" applyFont="1" applyBorder="1" applyAlignment="1">
      <alignment horizontal="center" vertical="center" wrapText="1"/>
    </xf>
    <xf numFmtId="0" fontId="75" fillId="0" borderId="87" xfId="0" applyFont="1" applyBorder="1" applyAlignment="1">
      <alignment vertical="center" wrapText="1"/>
    </xf>
    <xf numFmtId="0" fontId="75" fillId="0" borderId="28" xfId="0" applyFont="1" applyBorder="1" applyAlignment="1">
      <alignment horizontal="center" vertical="center" wrapText="1"/>
    </xf>
    <xf numFmtId="3" fontId="32" fillId="0" borderId="28" xfId="106" applyNumberFormat="1" applyFont="1" applyBorder="1" applyAlignment="1">
      <alignment horizontal="right" vertical="center" wrapText="1"/>
      <protection/>
    </xf>
    <xf numFmtId="0" fontId="75" fillId="0" borderId="56" xfId="0" applyFont="1" applyBorder="1" applyAlignment="1">
      <alignment vertical="center" wrapText="1"/>
    </xf>
    <xf numFmtId="0" fontId="75" fillId="0" borderId="53" xfId="0" applyFont="1" applyBorder="1" applyAlignment="1">
      <alignment horizontal="center" vertical="center" wrapText="1"/>
    </xf>
    <xf numFmtId="3" fontId="32" fillId="0" borderId="53" xfId="106" applyNumberFormat="1" applyFont="1" applyBorder="1" applyAlignment="1">
      <alignment horizontal="right" vertical="center" wrapText="1"/>
      <protection/>
    </xf>
    <xf numFmtId="10" fontId="11" fillId="0" borderId="0" xfId="106" applyNumberFormat="1" applyAlignment="1">
      <alignment vertical="center"/>
      <protection/>
    </xf>
    <xf numFmtId="0" fontId="29" fillId="0" borderId="0" xfId="109" applyFont="1" applyAlignment="1">
      <alignment vertical="center"/>
      <protection/>
    </xf>
    <xf numFmtId="169" fontId="27" fillId="0" borderId="0" xfId="109" applyNumberFormat="1" applyFont="1" applyAlignment="1">
      <alignment horizontal="centerContinuous" vertical="center"/>
      <protection/>
    </xf>
    <xf numFmtId="0" fontId="42" fillId="0" borderId="0" xfId="0" applyFont="1" applyAlignment="1">
      <alignment vertical="center"/>
    </xf>
    <xf numFmtId="0" fontId="46" fillId="0" borderId="22" xfId="109" applyFont="1" applyBorder="1" applyAlignment="1">
      <alignment horizontal="center" vertical="center" wrapText="1"/>
      <protection/>
    </xf>
    <xf numFmtId="0" fontId="46" fillId="0" borderId="30" xfId="109" applyFont="1" applyBorder="1" applyAlignment="1">
      <alignment horizontal="center" vertical="center" wrapText="1"/>
      <protection/>
    </xf>
    <xf numFmtId="0" fontId="46" fillId="0" borderId="47" xfId="109" applyFont="1" applyBorder="1" applyAlignment="1">
      <alignment horizontal="center" vertical="center" wrapText="1"/>
      <protection/>
    </xf>
    <xf numFmtId="0" fontId="30" fillId="0" borderId="44" xfId="109" applyBorder="1" applyAlignment="1">
      <alignment horizontal="center" vertical="center"/>
      <protection/>
    </xf>
    <xf numFmtId="0" fontId="30" fillId="0" borderId="27" xfId="109" applyBorder="1" applyAlignment="1">
      <alignment horizontal="center" vertical="center"/>
      <protection/>
    </xf>
    <xf numFmtId="0" fontId="30" fillId="0" borderId="45" xfId="109" applyBorder="1" applyAlignment="1">
      <alignment horizontal="center" vertical="center"/>
      <protection/>
    </xf>
    <xf numFmtId="0" fontId="30" fillId="0" borderId="22" xfId="109" applyBorder="1" applyAlignment="1">
      <alignment horizontal="center" vertical="center"/>
      <protection/>
    </xf>
    <xf numFmtId="0" fontId="30" fillId="0" borderId="42" xfId="109" applyBorder="1" applyAlignment="1">
      <alignment vertical="center"/>
      <protection/>
    </xf>
    <xf numFmtId="170" fontId="30" fillId="0" borderId="47" xfId="68" applyNumberFormat="1" applyFont="1" applyBorder="1" applyAlignment="1" applyProtection="1">
      <alignment vertical="center"/>
      <protection locked="0"/>
    </xf>
    <xf numFmtId="0" fontId="30" fillId="0" borderId="26" xfId="109" applyBorder="1" applyAlignment="1">
      <alignment horizontal="center" vertical="center"/>
      <protection/>
    </xf>
    <xf numFmtId="170" fontId="30" fillId="0" borderId="59" xfId="68" applyNumberFormat="1" applyFont="1" applyBorder="1" applyAlignment="1" applyProtection="1">
      <alignment vertical="center"/>
      <protection locked="0"/>
    </xf>
    <xf numFmtId="0" fontId="30" fillId="0" borderId="19" xfId="109" applyBorder="1" applyAlignment="1">
      <alignment horizontal="center" vertical="center"/>
      <protection/>
    </xf>
    <xf numFmtId="0" fontId="76" fillId="0" borderId="24" xfId="0" applyFont="1" applyBorder="1" applyAlignment="1">
      <alignment horizontal="justify" vertical="center" wrapText="1"/>
    </xf>
    <xf numFmtId="170" fontId="30" fillId="0" borderId="25" xfId="68" applyNumberFormat="1" applyFont="1" applyBorder="1" applyAlignment="1" applyProtection="1">
      <alignment vertical="center"/>
      <protection locked="0"/>
    </xf>
    <xf numFmtId="0" fontId="76" fillId="0" borderId="24" xfId="0" applyFont="1" applyBorder="1" applyAlignment="1">
      <alignment vertical="center" wrapText="1"/>
    </xf>
    <xf numFmtId="170" fontId="30" fillId="0" borderId="61" xfId="68" applyNumberFormat="1" applyFont="1" applyBorder="1" applyAlignment="1" applyProtection="1">
      <alignment vertical="center"/>
      <protection locked="0"/>
    </xf>
    <xf numFmtId="170" fontId="46" fillId="0" borderId="45" xfId="68" applyNumberFormat="1" applyFont="1" applyBorder="1" applyAlignment="1">
      <alignment vertical="center"/>
    </xf>
    <xf numFmtId="0" fontId="45" fillId="0" borderId="0" xfId="109" applyFont="1" applyAlignment="1">
      <alignment horizontal="justify" vertical="center" wrapText="1"/>
      <protection/>
    </xf>
    <xf numFmtId="169" fontId="9" fillId="0" borderId="0" xfId="0" applyNumberFormat="1" applyFont="1" applyAlignment="1">
      <alignment horizontal="left" vertical="center" wrapText="1"/>
    </xf>
    <xf numFmtId="10" fontId="3" fillId="0" borderId="27" xfId="0" applyNumberFormat="1" applyFont="1" applyBorder="1" applyAlignment="1">
      <alignment vertical="center"/>
    </xf>
    <xf numFmtId="10" fontId="7" fillId="0" borderId="42" xfId="0" applyNumberFormat="1" applyFont="1" applyBorder="1" applyAlignment="1">
      <alignment vertical="center"/>
    </xf>
    <xf numFmtId="10" fontId="39" fillId="0" borderId="27" xfId="0" applyNumberFormat="1" applyFont="1" applyBorder="1" applyAlignment="1">
      <alignment vertical="center"/>
    </xf>
    <xf numFmtId="10" fontId="7" fillId="0" borderId="28" xfId="0" applyNumberFormat="1" applyFont="1" applyBorder="1" applyAlignment="1">
      <alignment vertical="center"/>
    </xf>
    <xf numFmtId="10" fontId="7" fillId="0" borderId="25" xfId="0" applyNumberFormat="1" applyFont="1" applyBorder="1" applyAlignment="1">
      <alignment horizontal="right" vertical="center"/>
    </xf>
    <xf numFmtId="10" fontId="7" fillId="0" borderId="21" xfId="0" applyNumberFormat="1" applyFont="1" applyBorder="1" applyAlignment="1">
      <alignment horizontal="right" vertical="center"/>
    </xf>
    <xf numFmtId="10" fontId="53" fillId="0" borderId="62" xfId="0" applyNumberFormat="1" applyFont="1" applyBorder="1" applyAlignment="1" applyProtection="1">
      <alignment horizontal="right" vertical="center" wrapText="1" indent="1"/>
      <protection locked="0"/>
    </xf>
    <xf numFmtId="10" fontId="45" fillId="0" borderId="25" xfId="0" applyNumberFormat="1" applyFont="1" applyBorder="1" applyAlignment="1" applyProtection="1">
      <alignment horizontal="right" vertical="center" wrapText="1" indent="1"/>
      <protection locked="0"/>
    </xf>
    <xf numFmtId="10" fontId="45" fillId="0" borderId="47" xfId="0" applyNumberFormat="1" applyFont="1" applyBorder="1" applyAlignment="1" applyProtection="1">
      <alignment horizontal="right" vertical="center" wrapText="1" indent="1"/>
      <protection locked="0"/>
    </xf>
    <xf numFmtId="10" fontId="45" fillId="0" borderId="49" xfId="0" applyNumberFormat="1" applyFont="1" applyBorder="1" applyAlignment="1" applyProtection="1">
      <alignment horizontal="right" vertical="center" wrapText="1" indent="1"/>
      <protection locked="0"/>
    </xf>
    <xf numFmtId="10" fontId="53" fillId="0" borderId="45" xfId="0" applyNumberFormat="1" applyFont="1" applyBorder="1" applyAlignment="1" applyProtection="1">
      <alignment horizontal="right" vertical="center" wrapText="1" indent="1"/>
      <protection locked="0"/>
    </xf>
    <xf numFmtId="10" fontId="45" fillId="0" borderId="21" xfId="0" applyNumberFormat="1" applyFont="1" applyBorder="1" applyAlignment="1" applyProtection="1">
      <alignment horizontal="right" vertical="center" wrapText="1" indent="1"/>
      <protection locked="0"/>
    </xf>
    <xf numFmtId="10" fontId="53" fillId="0" borderId="52" xfId="0" applyNumberFormat="1" applyFont="1" applyBorder="1" applyAlignment="1" applyProtection="1">
      <alignment horizontal="right" vertical="center" wrapText="1" indent="1"/>
      <protection locked="0"/>
    </xf>
    <xf numFmtId="3" fontId="3" fillId="49" borderId="45" xfId="0" applyNumberFormat="1" applyFont="1" applyFill="1" applyBorder="1" applyAlignment="1">
      <alignment horizontal="right" vertical="center" wrapText="1"/>
    </xf>
    <xf numFmtId="10" fontId="3" fillId="49" borderId="45" xfId="0" applyNumberFormat="1" applyFont="1" applyFill="1" applyBorder="1" applyAlignment="1">
      <alignment horizontal="right" vertical="center" wrapText="1"/>
    </xf>
    <xf numFmtId="10" fontId="7" fillId="49" borderId="47" xfId="0" applyNumberFormat="1" applyFont="1" applyFill="1" applyBorder="1" applyAlignment="1">
      <alignment horizontal="right" vertical="center" wrapText="1"/>
    </xf>
    <xf numFmtId="10" fontId="7" fillId="49" borderId="25" xfId="0" applyNumberFormat="1" applyFont="1" applyFill="1" applyBorder="1" applyAlignment="1">
      <alignment horizontal="right" vertical="center" wrapText="1"/>
    </xf>
    <xf numFmtId="10" fontId="7" fillId="0" borderId="25" xfId="0" applyNumberFormat="1" applyFont="1" applyBorder="1" applyAlignment="1">
      <alignment horizontal="right" vertical="center" wrapText="1"/>
    </xf>
    <xf numFmtId="10" fontId="7" fillId="0" borderId="21" xfId="0" applyNumberFormat="1" applyFont="1" applyBorder="1" applyAlignment="1">
      <alignment horizontal="right" vertical="center" wrapText="1"/>
    </xf>
    <xf numFmtId="10" fontId="7" fillId="0" borderId="59" xfId="0" applyNumberFormat="1" applyFont="1" applyBorder="1" applyAlignment="1">
      <alignment horizontal="right" vertical="center" wrapText="1"/>
    </xf>
    <xf numFmtId="10" fontId="3" fillId="0" borderId="45" xfId="0" applyNumberFormat="1" applyFont="1" applyBorder="1" applyAlignment="1">
      <alignment horizontal="right" vertical="center"/>
    </xf>
    <xf numFmtId="10" fontId="3" fillId="0" borderId="47" xfId="0" applyNumberFormat="1" applyFont="1" applyBorder="1" applyAlignment="1">
      <alignment horizontal="right" vertical="center"/>
    </xf>
    <xf numFmtId="10" fontId="3" fillId="0" borderId="25" xfId="0" applyNumberFormat="1" applyFont="1" applyBorder="1" applyAlignment="1">
      <alignment horizontal="right" vertical="center"/>
    </xf>
    <xf numFmtId="10" fontId="7" fillId="0" borderId="59" xfId="0" applyNumberFormat="1" applyFont="1" applyBorder="1" applyAlignment="1">
      <alignment horizontal="right" vertical="center"/>
    </xf>
    <xf numFmtId="10" fontId="3" fillId="0" borderId="25" xfId="0" applyNumberFormat="1" applyFont="1" applyBorder="1" applyAlignment="1">
      <alignment vertical="center"/>
    </xf>
    <xf numFmtId="10" fontId="3" fillId="0" borderId="45" xfId="0" applyNumberFormat="1" applyFont="1" applyBorder="1" applyAlignment="1">
      <alignment vertical="center"/>
    </xf>
    <xf numFmtId="10" fontId="3" fillId="0" borderId="59" xfId="0" applyNumberFormat="1" applyFont="1" applyBorder="1" applyAlignment="1">
      <alignment vertical="center"/>
    </xf>
    <xf numFmtId="10" fontId="7" fillId="0" borderId="61" xfId="0" applyNumberFormat="1" applyFont="1" applyBorder="1" applyAlignment="1">
      <alignment vertical="center"/>
    </xf>
    <xf numFmtId="10" fontId="7" fillId="0" borderId="25" xfId="0" applyNumberFormat="1" applyFont="1" applyBorder="1" applyAlignment="1">
      <alignment vertical="center"/>
    </xf>
    <xf numFmtId="10" fontId="3" fillId="0" borderId="51" xfId="0" applyNumberFormat="1" applyFont="1" applyBorder="1" applyAlignment="1">
      <alignment horizontal="centerContinuous" vertical="center" wrapText="1"/>
    </xf>
    <xf numFmtId="10" fontId="7" fillId="0" borderId="59" xfId="0" applyNumberFormat="1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69" fontId="45" fillId="0" borderId="88" xfId="0" applyNumberFormat="1" applyFont="1" applyBorder="1" applyAlignment="1" applyProtection="1">
      <alignment horizontal="right" vertical="center" wrapText="1" indent="1"/>
      <protection locked="0"/>
    </xf>
    <xf numFmtId="0" fontId="0" fillId="0" borderId="89" xfId="0" applyBorder="1" applyAlignment="1">
      <alignment horizontal="right" vertical="center" wrapText="1" indent="1"/>
    </xf>
    <xf numFmtId="10" fontId="45" fillId="0" borderId="25" xfId="0" applyNumberFormat="1" applyFont="1" applyBorder="1" applyAlignment="1" applyProtection="1">
      <alignment horizontal="right" vertical="center" wrapText="1" indent="1"/>
      <protection locked="0"/>
    </xf>
    <xf numFmtId="169" fontId="49" fillId="0" borderId="90" xfId="0" applyNumberFormat="1" applyFont="1" applyBorder="1" applyAlignment="1">
      <alignment horizontal="center" vertical="center" wrapText="1"/>
    </xf>
    <xf numFmtId="169" fontId="45" fillId="0" borderId="91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92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93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94" xfId="0" applyNumberFormat="1" applyFont="1" applyBorder="1" applyAlignment="1" applyProtection="1">
      <alignment horizontal="right" vertical="center" wrapText="1" indent="1"/>
      <protection locked="0"/>
    </xf>
    <xf numFmtId="0" fontId="0" fillId="0" borderId="89" xfId="0" applyFont="1" applyBorder="1" applyAlignment="1">
      <alignment horizontal="right" vertical="center" wrapText="1" indent="1"/>
    </xf>
    <xf numFmtId="169" fontId="49" fillId="0" borderId="62" xfId="0" applyNumberFormat="1" applyFont="1" applyBorder="1" applyAlignment="1">
      <alignment horizontal="center" vertical="center" wrapText="1"/>
    </xf>
    <xf numFmtId="3" fontId="15" fillId="0" borderId="30" xfId="0" applyNumberFormat="1" applyFont="1" applyBorder="1" applyAlignment="1">
      <alignment horizontal="right" vertical="center"/>
    </xf>
    <xf numFmtId="0" fontId="0" fillId="0" borderId="73" xfId="106" applyFont="1" applyBorder="1" applyAlignment="1">
      <alignment horizontal="center" vertical="center"/>
      <protection/>
    </xf>
    <xf numFmtId="3" fontId="7" fillId="0" borderId="22" xfId="106" applyNumberFormat="1" applyFont="1" applyBorder="1" applyAlignment="1">
      <alignment horizontal="right" vertical="center"/>
      <protection/>
    </xf>
    <xf numFmtId="3" fontId="7" fillId="0" borderId="19" xfId="106" applyNumberFormat="1" applyFont="1" applyBorder="1" applyAlignment="1">
      <alignment horizontal="right" vertical="center"/>
      <protection/>
    </xf>
    <xf numFmtId="10" fontId="41" fillId="0" borderId="67" xfId="106" applyNumberFormat="1" applyFont="1" applyBorder="1" applyAlignment="1">
      <alignment horizontal="right"/>
      <protection/>
    </xf>
    <xf numFmtId="3" fontId="18" fillId="0" borderId="94" xfId="106" applyNumberFormat="1" applyFont="1" applyBorder="1" applyAlignment="1">
      <alignment horizontal="right"/>
      <protection/>
    </xf>
    <xf numFmtId="3" fontId="18" fillId="0" borderId="95" xfId="106" applyNumberFormat="1" applyFont="1" applyBorder="1" applyAlignment="1">
      <alignment horizontal="right"/>
      <protection/>
    </xf>
    <xf numFmtId="10" fontId="18" fillId="0" borderId="21" xfId="106" applyNumberFormat="1" applyFont="1" applyBorder="1" applyAlignment="1">
      <alignment horizontal="right"/>
      <protection/>
    </xf>
    <xf numFmtId="3" fontId="1" fillId="0" borderId="28" xfId="105" applyNumberFormat="1" applyBorder="1">
      <alignment/>
      <protection/>
    </xf>
    <xf numFmtId="0" fontId="29" fillId="0" borderId="0" xfId="109" applyFont="1">
      <alignment/>
      <protection/>
    </xf>
    <xf numFmtId="0" fontId="29" fillId="0" borderId="0" xfId="109" applyFont="1" applyAlignment="1">
      <alignment vertical="center" wrapText="1"/>
      <protection/>
    </xf>
    <xf numFmtId="169" fontId="84" fillId="0" borderId="0" xfId="109" applyNumberFormat="1" applyFont="1" applyAlignment="1">
      <alignment vertical="center" wrapText="1"/>
      <protection/>
    </xf>
    <xf numFmtId="169" fontId="27" fillId="0" borderId="0" xfId="109" applyNumberFormat="1" applyFont="1" applyAlignment="1">
      <alignment horizontal="centerContinuous" vertical="center" wrapText="1"/>
      <protection/>
    </xf>
    <xf numFmtId="0" fontId="42" fillId="0" borderId="0" xfId="0" applyFont="1" applyAlignment="1">
      <alignment/>
    </xf>
    <xf numFmtId="0" fontId="46" fillId="0" borderId="0" xfId="109" applyFont="1" applyAlignment="1">
      <alignment vertical="center" wrapText="1"/>
      <protection/>
    </xf>
    <xf numFmtId="0" fontId="46" fillId="0" borderId="28" xfId="109" applyFont="1" applyBorder="1" applyAlignment="1">
      <alignment horizontal="center" vertical="center" wrapText="1"/>
      <protection/>
    </xf>
    <xf numFmtId="0" fontId="30" fillId="0" borderId="27" xfId="109" applyBorder="1" applyAlignment="1">
      <alignment horizontal="center" vertical="center" wrapText="1"/>
      <protection/>
    </xf>
    <xf numFmtId="170" fontId="30" fillId="0" borderId="47" xfId="68" applyNumberFormat="1" applyFont="1" applyBorder="1" applyAlignment="1" applyProtection="1">
      <alignment horizontal="right" vertical="center"/>
      <protection locked="0"/>
    </xf>
    <xf numFmtId="170" fontId="30" fillId="0" borderId="24" xfId="68" applyNumberFormat="1" applyFont="1" applyBorder="1" applyAlignment="1" applyProtection="1">
      <alignment horizontal="right" vertical="center"/>
      <protection locked="0"/>
    </xf>
    <xf numFmtId="170" fontId="30" fillId="0" borderId="25" xfId="68" applyNumberFormat="1" applyFont="1" applyBorder="1" applyAlignment="1" applyProtection="1">
      <alignment horizontal="right" vertical="center"/>
      <protection locked="0"/>
    </xf>
    <xf numFmtId="0" fontId="30" fillId="0" borderId="29" xfId="109" applyBorder="1" applyAlignment="1">
      <alignment horizontal="center" vertical="center"/>
      <protection/>
    </xf>
    <xf numFmtId="0" fontId="30" fillId="0" borderId="28" xfId="109" applyBorder="1" applyAlignment="1" applyProtection="1">
      <alignment vertical="center" wrapText="1"/>
      <protection locked="0"/>
    </xf>
    <xf numFmtId="170" fontId="30" fillId="0" borderId="28" xfId="68" applyNumberFormat="1" applyFont="1" applyBorder="1" applyAlignment="1" applyProtection="1">
      <alignment horizontal="right" vertical="center"/>
      <protection locked="0"/>
    </xf>
    <xf numFmtId="170" fontId="30" fillId="0" borderId="61" xfId="68" applyNumberFormat="1" applyFont="1" applyBorder="1" applyAlignment="1" applyProtection="1">
      <alignment horizontal="right" vertical="center"/>
      <protection locked="0"/>
    </xf>
    <xf numFmtId="0" fontId="46" fillId="0" borderId="27" xfId="109" applyFont="1" applyBorder="1" applyAlignment="1">
      <alignment vertical="center" wrapText="1"/>
      <protection/>
    </xf>
    <xf numFmtId="170" fontId="30" fillId="0" borderId="27" xfId="109" applyNumberFormat="1" applyBorder="1" applyAlignment="1">
      <alignment horizontal="right" vertical="center"/>
      <protection/>
    </xf>
    <xf numFmtId="170" fontId="30" fillId="0" borderId="45" xfId="109" applyNumberFormat="1" applyBorder="1" applyAlignment="1">
      <alignment horizontal="right" vertical="center"/>
      <protection/>
    </xf>
    <xf numFmtId="0" fontId="30" fillId="0" borderId="0" xfId="109" applyAlignment="1" applyProtection="1">
      <alignment vertical="center" wrapText="1"/>
      <protection locked="0"/>
    </xf>
    <xf numFmtId="3" fontId="30" fillId="0" borderId="0" xfId="110" applyNumberFormat="1">
      <alignment/>
      <protection/>
    </xf>
    <xf numFmtId="3" fontId="30" fillId="0" borderId="0" xfId="110" applyNumberFormat="1" applyAlignment="1" applyProtection="1">
      <alignment wrapText="1"/>
      <protection locked="0"/>
    </xf>
    <xf numFmtId="3" fontId="30" fillId="0" borderId="0" xfId="110" applyNumberFormat="1" applyProtection="1">
      <alignment/>
      <protection locked="0"/>
    </xf>
    <xf numFmtId="3" fontId="31" fillId="0" borderId="0" xfId="105" applyNumberFormat="1" applyFont="1" applyAlignment="1">
      <alignment horizontal="right"/>
      <protection/>
    </xf>
    <xf numFmtId="3" fontId="49" fillId="0" borderId="50" xfId="110" applyNumberFormat="1" applyFont="1" applyBorder="1" applyAlignment="1">
      <alignment horizontal="center" vertical="center" wrapText="1"/>
      <protection/>
    </xf>
    <xf numFmtId="3" fontId="49" fillId="0" borderId="43" xfId="110" applyNumberFormat="1" applyFont="1" applyBorder="1" applyAlignment="1">
      <alignment horizontal="center" vertical="center" wrapText="1"/>
      <protection/>
    </xf>
    <xf numFmtId="3" fontId="49" fillId="0" borderId="43" xfId="110" applyNumberFormat="1" applyFont="1" applyBorder="1" applyAlignment="1">
      <alignment horizontal="center" vertical="center"/>
      <protection/>
    </xf>
    <xf numFmtId="3" fontId="49" fillId="0" borderId="57" xfId="110" applyNumberFormat="1" applyFont="1" applyBorder="1" applyAlignment="1">
      <alignment horizontal="center" vertical="center"/>
      <protection/>
    </xf>
    <xf numFmtId="3" fontId="45" fillId="0" borderId="44" xfId="110" applyNumberFormat="1" applyFont="1" applyBorder="1" applyAlignment="1">
      <alignment horizontal="left" vertical="center" indent="1"/>
      <protection/>
    </xf>
    <xf numFmtId="3" fontId="30" fillId="0" borderId="0" xfId="110" applyNumberFormat="1" applyAlignment="1">
      <alignment vertical="center"/>
      <protection/>
    </xf>
    <xf numFmtId="3" fontId="45" fillId="0" borderId="46" xfId="110" applyNumberFormat="1" applyFont="1" applyBorder="1" applyAlignment="1">
      <alignment horizontal="left" vertical="center" indent="1"/>
      <protection/>
    </xf>
    <xf numFmtId="3" fontId="45" fillId="0" borderId="53" xfId="110" applyNumberFormat="1" applyFont="1" applyBorder="1" applyAlignment="1">
      <alignment horizontal="left" vertical="center" wrapText="1"/>
      <protection/>
    </xf>
    <xf numFmtId="3" fontId="45" fillId="0" borderId="53" xfId="110" applyNumberFormat="1" applyFont="1" applyBorder="1" applyAlignment="1" applyProtection="1">
      <alignment vertical="center"/>
      <protection locked="0"/>
    </xf>
    <xf numFmtId="3" fontId="45" fillId="0" borderId="62" xfId="110" applyNumberFormat="1" applyFont="1" applyBorder="1" applyAlignment="1">
      <alignment vertical="center"/>
      <protection/>
    </xf>
    <xf numFmtId="3" fontId="45" fillId="0" borderId="19" xfId="110" applyNumberFormat="1" applyFont="1" applyBorder="1" applyAlignment="1">
      <alignment horizontal="left" vertical="center" indent="1"/>
      <protection/>
    </xf>
    <xf numFmtId="3" fontId="45" fillId="0" borderId="24" xfId="110" applyNumberFormat="1" applyFont="1" applyBorder="1" applyAlignment="1">
      <alignment horizontal="left" vertical="center" wrapText="1"/>
      <protection/>
    </xf>
    <xf numFmtId="3" fontId="45" fillId="0" borderId="24" xfId="110" applyNumberFormat="1" applyFont="1" applyBorder="1" applyAlignment="1" applyProtection="1">
      <alignment vertical="center"/>
      <protection locked="0"/>
    </xf>
    <xf numFmtId="3" fontId="45" fillId="0" borderId="25" xfId="110" applyNumberFormat="1" applyFont="1" applyBorder="1" applyAlignment="1">
      <alignment vertical="center"/>
      <protection/>
    </xf>
    <xf numFmtId="3" fontId="30" fillId="0" borderId="0" xfId="110" applyNumberFormat="1" applyAlignment="1" applyProtection="1">
      <alignment vertical="center"/>
      <protection locked="0"/>
    </xf>
    <xf numFmtId="3" fontId="45" fillId="0" borderId="42" xfId="110" applyNumberFormat="1" applyFont="1" applyBorder="1" applyAlignment="1">
      <alignment horizontal="left" vertical="center" wrapText="1"/>
      <protection/>
    </xf>
    <xf numFmtId="3" fontId="45" fillId="0" borderId="42" xfId="110" applyNumberFormat="1" applyFont="1" applyBorder="1" applyAlignment="1" applyProtection="1">
      <alignment vertical="center"/>
      <protection locked="0"/>
    </xf>
    <xf numFmtId="3" fontId="49" fillId="0" borderId="27" xfId="110" applyNumberFormat="1" applyFont="1" applyBorder="1" applyAlignment="1">
      <alignment horizontal="left" vertical="center" wrapText="1"/>
      <protection/>
    </xf>
    <xf numFmtId="3" fontId="53" fillId="0" borderId="27" xfId="110" applyNumberFormat="1" applyFont="1" applyBorder="1" applyAlignment="1">
      <alignment vertical="center"/>
      <protection/>
    </xf>
    <xf numFmtId="3" fontId="53" fillId="0" borderId="45" xfId="110" applyNumberFormat="1" applyFont="1" applyBorder="1" applyAlignment="1">
      <alignment vertical="center"/>
      <protection/>
    </xf>
    <xf numFmtId="3" fontId="45" fillId="0" borderId="59" xfId="110" applyNumberFormat="1" applyFont="1" applyBorder="1" applyAlignment="1">
      <alignment vertical="center"/>
      <protection/>
    </xf>
    <xf numFmtId="3" fontId="49" fillId="0" borderId="27" xfId="110" applyNumberFormat="1" applyFont="1" applyBorder="1" applyAlignment="1">
      <alignment horizontal="left" wrapText="1"/>
      <protection/>
    </xf>
    <xf numFmtId="3" fontId="53" fillId="0" borderId="27" xfId="110" applyNumberFormat="1" applyFont="1" applyBorder="1">
      <alignment/>
      <protection/>
    </xf>
    <xf numFmtId="3" fontId="53" fillId="0" borderId="45" xfId="110" applyNumberFormat="1" applyFont="1" applyBorder="1">
      <alignment/>
      <protection/>
    </xf>
    <xf numFmtId="3" fontId="59" fillId="0" borderId="0" xfId="110" applyNumberFormat="1" applyFont="1">
      <alignment/>
      <protection/>
    </xf>
    <xf numFmtId="3" fontId="27" fillId="0" borderId="0" xfId="110" applyNumberFormat="1" applyFont="1" applyAlignment="1" applyProtection="1">
      <alignment wrapText="1"/>
      <protection locked="0"/>
    </xf>
    <xf numFmtId="3" fontId="46" fillId="0" borderId="0" xfId="110" applyNumberFormat="1" applyFont="1" applyProtection="1">
      <alignment/>
      <protection locked="0"/>
    </xf>
    <xf numFmtId="3" fontId="1" fillId="0" borderId="0" xfId="105" applyNumberFormat="1" applyAlignment="1">
      <alignment vertical="center"/>
      <protection/>
    </xf>
    <xf numFmtId="3" fontId="3" fillId="0" borderId="45" xfId="0" applyNumberFormat="1" applyFont="1" applyBorder="1" applyAlignment="1">
      <alignment vertical="center"/>
    </xf>
    <xf numFmtId="3" fontId="7" fillId="0" borderId="59" xfId="0" applyNumberFormat="1" applyFont="1" applyBorder="1" applyAlignment="1">
      <alignment vertical="center"/>
    </xf>
    <xf numFmtId="3" fontId="39" fillId="0" borderId="45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horizontal="right" vertical="center"/>
    </xf>
    <xf numFmtId="3" fontId="7" fillId="0" borderId="61" xfId="0" applyNumberFormat="1" applyFont="1" applyBorder="1" applyAlignment="1">
      <alignment vertical="center"/>
    </xf>
    <xf numFmtId="3" fontId="3" fillId="0" borderId="57" xfId="0" applyNumberFormat="1" applyFont="1" applyBorder="1" applyAlignment="1">
      <alignment vertical="center"/>
    </xf>
    <xf numFmtId="3" fontId="29" fillId="0" borderId="0" xfId="109" applyNumberFormat="1" applyFont="1">
      <alignment/>
      <protection/>
    </xf>
    <xf numFmtId="170" fontId="29" fillId="0" borderId="0" xfId="109" applyNumberFormat="1" applyFont="1">
      <alignment/>
      <protection/>
    </xf>
    <xf numFmtId="0" fontId="12" fillId="1" borderId="25" xfId="106" applyFont="1" applyFill="1" applyBorder="1" applyAlignment="1">
      <alignment horizontal="center" vertical="center"/>
      <protection/>
    </xf>
    <xf numFmtId="0" fontId="12" fillId="1" borderId="19" xfId="106" applyFont="1" applyFill="1" applyBorder="1" applyAlignment="1">
      <alignment horizontal="center" vertical="center"/>
      <protection/>
    </xf>
    <xf numFmtId="3" fontId="66" fillId="0" borderId="48" xfId="105" applyNumberFormat="1" applyFont="1" applyBorder="1" applyAlignment="1">
      <alignment horizontal="right"/>
      <protection/>
    </xf>
    <xf numFmtId="0" fontId="66" fillId="0" borderId="65" xfId="105" applyFont="1" applyBorder="1">
      <alignment/>
      <protection/>
    </xf>
    <xf numFmtId="3" fontId="66" fillId="0" borderId="48" xfId="105" applyNumberFormat="1" applyFont="1" applyBorder="1">
      <alignment/>
      <protection/>
    </xf>
    <xf numFmtId="0" fontId="12" fillId="1" borderId="78" xfId="106" applyFont="1" applyFill="1" applyBorder="1" applyAlignment="1">
      <alignment horizontal="center" vertical="center" wrapText="1"/>
      <protection/>
    </xf>
    <xf numFmtId="0" fontId="12" fillId="1" borderId="78" xfId="106" applyFont="1" applyFill="1" applyBorder="1" applyAlignment="1">
      <alignment horizontal="center" vertical="center"/>
      <protection/>
    </xf>
    <xf numFmtId="3" fontId="11" fillId="0" borderId="56" xfId="106" applyNumberFormat="1" applyBorder="1">
      <alignment/>
      <protection/>
    </xf>
    <xf numFmtId="169" fontId="49" fillId="0" borderId="96" xfId="0" applyNumberFormat="1" applyFont="1" applyBorder="1" applyAlignment="1">
      <alignment horizontal="center" vertical="center" wrapText="1"/>
    </xf>
    <xf numFmtId="169" fontId="49" fillId="0" borderId="72" xfId="0" applyNumberFormat="1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vertical="center"/>
    </xf>
    <xf numFmtId="10" fontId="7" fillId="0" borderId="53" xfId="0" applyNumberFormat="1" applyFont="1" applyBorder="1" applyAlignment="1">
      <alignment vertical="center"/>
    </xf>
    <xf numFmtId="10" fontId="4" fillId="0" borderId="53" xfId="0" applyNumberFormat="1" applyFont="1" applyBorder="1" applyAlignment="1">
      <alignment vertical="center"/>
    </xf>
    <xf numFmtId="10" fontId="7" fillId="0" borderId="20" xfId="0" applyNumberFormat="1" applyFont="1" applyBorder="1" applyAlignment="1">
      <alignment vertical="center"/>
    </xf>
    <xf numFmtId="10" fontId="32" fillId="0" borderId="96" xfId="106" applyNumberFormat="1" applyFont="1" applyBorder="1" applyAlignment="1">
      <alignment horizontal="right" vertical="center" wrapText="1"/>
      <protection/>
    </xf>
    <xf numFmtId="10" fontId="66" fillId="0" borderId="42" xfId="105" applyNumberFormat="1" applyFont="1" applyBorder="1" applyAlignment="1">
      <alignment horizontal="right"/>
      <protection/>
    </xf>
    <xf numFmtId="10" fontId="66" fillId="0" borderId="48" xfId="105" applyNumberFormat="1" applyFont="1" applyBorder="1" applyAlignment="1">
      <alignment horizontal="right"/>
      <protection/>
    </xf>
    <xf numFmtId="10" fontId="66" fillId="0" borderId="27" xfId="105" applyNumberFormat="1" applyFont="1" applyBorder="1" applyAlignment="1">
      <alignment horizontal="right" vertical="center"/>
      <protection/>
    </xf>
    <xf numFmtId="10" fontId="66" fillId="0" borderId="27" xfId="105" applyNumberFormat="1" applyFont="1" applyBorder="1" applyAlignment="1">
      <alignment vertical="center"/>
      <protection/>
    </xf>
    <xf numFmtId="10" fontId="66" fillId="0" borderId="27" xfId="105" applyNumberFormat="1" applyFont="1" applyBorder="1">
      <alignment/>
      <protection/>
    </xf>
    <xf numFmtId="10" fontId="66" fillId="0" borderId="24" xfId="105" applyNumberFormat="1" applyFont="1" applyBorder="1">
      <alignment/>
      <protection/>
    </xf>
    <xf numFmtId="10" fontId="66" fillId="0" borderId="28" xfId="105" applyNumberFormat="1" applyFont="1" applyBorder="1">
      <alignment/>
      <protection/>
    </xf>
    <xf numFmtId="3" fontId="3" fillId="0" borderId="52" xfId="0" applyNumberFormat="1" applyFont="1" applyBorder="1" applyAlignment="1">
      <alignment horizontal="center" vertical="center" wrapText="1"/>
    </xf>
    <xf numFmtId="169" fontId="53" fillId="0" borderId="63" xfId="0" applyNumberFormat="1" applyFont="1" applyBorder="1" applyAlignment="1">
      <alignment horizontal="right" vertical="center" wrapText="1" indent="1"/>
    </xf>
    <xf numFmtId="0" fontId="3" fillId="0" borderId="51" xfId="0" applyFont="1" applyBorder="1" applyAlignment="1">
      <alignment horizontal="centerContinuous" vertical="center" wrapText="1"/>
    </xf>
    <xf numFmtId="3" fontId="32" fillId="0" borderId="67" xfId="106" applyNumberFormat="1" applyFont="1" applyBorder="1" applyAlignment="1">
      <alignment vertical="center"/>
      <protection/>
    </xf>
    <xf numFmtId="3" fontId="32" fillId="0" borderId="64" xfId="106" applyNumberFormat="1" applyFont="1" applyBorder="1" applyAlignment="1">
      <alignment horizontal="right" vertical="center" wrapText="1"/>
      <protection/>
    </xf>
    <xf numFmtId="3" fontId="32" fillId="0" borderId="96" xfId="106" applyNumberFormat="1" applyFont="1" applyBorder="1" applyAlignment="1">
      <alignment horizontal="right" vertical="center" wrapText="1"/>
      <protection/>
    </xf>
    <xf numFmtId="3" fontId="18" fillId="0" borderId="75" xfId="106" applyNumberFormat="1" applyFont="1" applyBorder="1" applyAlignment="1">
      <alignment horizontal="right"/>
      <protection/>
    </xf>
    <xf numFmtId="0" fontId="12" fillId="1" borderId="36" xfId="106" applyFont="1" applyFill="1" applyBorder="1" applyAlignment="1">
      <alignment horizontal="center" vertical="center"/>
      <protection/>
    </xf>
    <xf numFmtId="0" fontId="3" fillId="0" borderId="63" xfId="0" applyFont="1" applyBorder="1" applyAlignment="1">
      <alignment horizontal="centerContinuous" vertical="center" wrapText="1"/>
    </xf>
    <xf numFmtId="0" fontId="75" fillId="0" borderId="97" xfId="0" applyFont="1" applyBorder="1" applyAlignment="1">
      <alignment horizontal="center" vertical="center" wrapText="1"/>
    </xf>
    <xf numFmtId="3" fontId="32" fillId="0" borderId="97" xfId="106" applyNumberFormat="1" applyFont="1" applyBorder="1" applyAlignment="1">
      <alignment vertical="center"/>
      <protection/>
    </xf>
    <xf numFmtId="10" fontId="32" fillId="0" borderId="97" xfId="106" applyNumberFormat="1" applyFont="1" applyBorder="1" applyAlignment="1">
      <alignment horizontal="right" vertical="center" wrapText="1"/>
      <protection/>
    </xf>
    <xf numFmtId="169" fontId="42" fillId="0" borderId="55" xfId="109" applyNumberFormat="1" applyFont="1" applyBorder="1" applyAlignment="1">
      <alignment vertical="center"/>
      <protection/>
    </xf>
    <xf numFmtId="3" fontId="11" fillId="0" borderId="56" xfId="106" applyNumberFormat="1" applyBorder="1" applyAlignment="1">
      <alignment vertical="center"/>
      <protection/>
    </xf>
    <xf numFmtId="0" fontId="66" fillId="0" borderId="23" xfId="105" applyFont="1" applyBorder="1">
      <alignment/>
      <protection/>
    </xf>
    <xf numFmtId="0" fontId="1" fillId="0" borderId="37" xfId="105" applyBorder="1">
      <alignment/>
      <protection/>
    </xf>
    <xf numFmtId="0" fontId="1" fillId="0" borderId="37" xfId="105" applyBorder="1" applyAlignment="1">
      <alignment wrapText="1"/>
      <protection/>
    </xf>
    <xf numFmtId="3" fontId="1" fillId="0" borderId="0" xfId="105" applyNumberFormat="1">
      <alignment/>
      <protection/>
    </xf>
    <xf numFmtId="10" fontId="66" fillId="0" borderId="48" xfId="105" applyNumberFormat="1" applyFont="1" applyBorder="1" applyAlignment="1">
      <alignment horizontal="center"/>
      <protection/>
    </xf>
    <xf numFmtId="0" fontId="0" fillId="0" borderId="42" xfId="106" applyFont="1" applyBorder="1" applyAlignment="1">
      <alignment horizontal="left" vertical="center" wrapText="1"/>
      <protection/>
    </xf>
    <xf numFmtId="0" fontId="0" fillId="0" borderId="36" xfId="106" applyFont="1" applyBorder="1" applyAlignment="1">
      <alignment horizontal="center" vertical="center"/>
      <protection/>
    </xf>
    <xf numFmtId="3" fontId="7" fillId="0" borderId="26" xfId="106" applyNumberFormat="1" applyFont="1" applyBorder="1" applyAlignment="1">
      <alignment horizontal="right" vertical="center"/>
      <protection/>
    </xf>
    <xf numFmtId="169" fontId="53" fillId="0" borderId="53" xfId="0" applyNumberFormat="1" applyFont="1" applyBorder="1" applyAlignment="1">
      <alignment horizontal="right" vertical="center" wrapText="1" indent="1"/>
    </xf>
    <xf numFmtId="169" fontId="53" fillId="0" borderId="62" xfId="0" applyNumberFormat="1" applyFont="1" applyBorder="1" applyAlignment="1">
      <alignment horizontal="right" vertical="center" wrapText="1" indent="1"/>
    </xf>
    <xf numFmtId="0" fontId="45" fillId="0" borderId="53" xfId="109" applyFont="1" applyBorder="1" applyAlignment="1">
      <alignment horizontal="left" vertical="center" wrapText="1" indent="1"/>
      <protection/>
    </xf>
    <xf numFmtId="0" fontId="45" fillId="0" borderId="30" xfId="0" applyFont="1" applyBorder="1" applyAlignment="1">
      <alignment horizontal="left" vertical="center" wrapText="1" indent="1"/>
    </xf>
    <xf numFmtId="169" fontId="53" fillId="0" borderId="30" xfId="0" applyNumberFormat="1" applyFont="1" applyBorder="1" applyAlignment="1">
      <alignment horizontal="right" vertical="center" wrapText="1" indent="1"/>
    </xf>
    <xf numFmtId="169" fontId="45" fillId="0" borderId="30" xfId="0" applyNumberFormat="1" applyFont="1" applyBorder="1" applyAlignment="1">
      <alignment horizontal="right" vertical="center" wrapText="1" indent="1"/>
    </xf>
    <xf numFmtId="10" fontId="53" fillId="0" borderId="47" xfId="0" applyNumberFormat="1" applyFont="1" applyBorder="1" applyAlignment="1">
      <alignment horizontal="right" vertical="center" wrapText="1" indent="1"/>
    </xf>
    <xf numFmtId="169" fontId="53" fillId="0" borderId="47" xfId="0" applyNumberFormat="1" applyFont="1" applyBorder="1" applyAlignment="1">
      <alignment horizontal="right" vertical="center" wrapText="1" indent="1"/>
    </xf>
    <xf numFmtId="169" fontId="53" fillId="0" borderId="22" xfId="0" applyNumberFormat="1" applyFont="1" applyBorder="1" applyAlignment="1">
      <alignment horizontal="right" vertical="center" wrapText="1" indent="1"/>
    </xf>
    <xf numFmtId="0" fontId="45" fillId="0" borderId="24" xfId="0" applyFont="1" applyBorder="1" applyAlignment="1">
      <alignment horizontal="left" vertical="center" wrapText="1" indent="1"/>
    </xf>
    <xf numFmtId="169" fontId="53" fillId="0" borderId="24" xfId="0" applyNumberFormat="1" applyFont="1" applyBorder="1" applyAlignment="1">
      <alignment horizontal="right" vertical="center" wrapText="1" indent="1"/>
    </xf>
    <xf numFmtId="169" fontId="45" fillId="0" borderId="24" xfId="0" applyNumberFormat="1" applyFont="1" applyBorder="1" applyAlignment="1">
      <alignment horizontal="right" vertical="center" wrapText="1" indent="1"/>
    </xf>
    <xf numFmtId="10" fontId="53" fillId="0" borderId="25" xfId="0" applyNumberFormat="1" applyFont="1" applyBorder="1" applyAlignment="1">
      <alignment horizontal="right" vertical="center" wrapText="1" indent="1"/>
    </xf>
    <xf numFmtId="169" fontId="53" fillId="0" borderId="25" xfId="0" applyNumberFormat="1" applyFont="1" applyBorder="1" applyAlignment="1">
      <alignment horizontal="right" vertical="center" wrapText="1" indent="1"/>
    </xf>
    <xf numFmtId="169" fontId="53" fillId="0" borderId="19" xfId="0" applyNumberFormat="1" applyFont="1" applyBorder="1" applyAlignment="1">
      <alignment horizontal="right" vertical="center" wrapText="1" indent="1"/>
    </xf>
    <xf numFmtId="0" fontId="53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left" vertical="center" wrapText="1" indent="1"/>
    </xf>
    <xf numFmtId="169" fontId="53" fillId="0" borderId="28" xfId="0" applyNumberFormat="1" applyFont="1" applyBorder="1" applyAlignment="1">
      <alignment horizontal="right" vertical="center" wrapText="1" indent="1"/>
    </xf>
    <xf numFmtId="169" fontId="45" fillId="0" borderId="28" xfId="0" applyNumberFormat="1" applyFont="1" applyBorder="1" applyAlignment="1">
      <alignment horizontal="right" vertical="center" wrapText="1" indent="1"/>
    </xf>
    <xf numFmtId="10" fontId="53" fillId="0" borderId="61" xfId="0" applyNumberFormat="1" applyFont="1" applyBorder="1" applyAlignment="1">
      <alignment horizontal="right" vertical="center" wrapText="1" indent="1"/>
    </xf>
    <xf numFmtId="169" fontId="53" fillId="0" borderId="61" xfId="0" applyNumberFormat="1" applyFont="1" applyBorder="1" applyAlignment="1">
      <alignment horizontal="right" vertical="center" wrapText="1" indent="1"/>
    </xf>
    <xf numFmtId="169" fontId="53" fillId="0" borderId="29" xfId="0" applyNumberFormat="1" applyFont="1" applyBorder="1" applyAlignment="1">
      <alignment horizontal="right" vertical="center" wrapText="1" indent="1"/>
    </xf>
    <xf numFmtId="169" fontId="53" fillId="0" borderId="92" xfId="0" applyNumberFormat="1" applyFont="1" applyBorder="1" applyAlignment="1">
      <alignment horizontal="right" vertical="center" wrapText="1" indent="1"/>
    </xf>
    <xf numFmtId="169" fontId="53" fillId="0" borderId="91" xfId="0" applyNumberFormat="1" applyFont="1" applyBorder="1" applyAlignment="1">
      <alignment horizontal="right" vertical="center" wrapText="1" indent="1"/>
    </xf>
    <xf numFmtId="0" fontId="53" fillId="0" borderId="75" xfId="0" applyFont="1" applyBorder="1" applyAlignment="1">
      <alignment horizontal="left" vertical="center" wrapText="1" indent="1"/>
    </xf>
    <xf numFmtId="169" fontId="53" fillId="0" borderId="23" xfId="0" applyNumberFormat="1" applyFont="1" applyBorder="1" applyAlignment="1">
      <alignment horizontal="right" vertical="center" wrapText="1" indent="1"/>
    </xf>
    <xf numFmtId="10" fontId="53" fillId="0" borderId="21" xfId="0" applyNumberFormat="1" applyFont="1" applyBorder="1" applyAlignment="1">
      <alignment horizontal="right" vertical="center" wrapText="1" indent="1"/>
    </xf>
    <xf numFmtId="169" fontId="53" fillId="0" borderId="20" xfId="0" applyNumberFormat="1" applyFont="1" applyBorder="1" applyAlignment="1">
      <alignment horizontal="right" vertical="center" wrapText="1" indent="1"/>
    </xf>
    <xf numFmtId="169" fontId="53" fillId="0" borderId="21" xfId="0" applyNumberFormat="1" applyFont="1" applyBorder="1" applyAlignment="1">
      <alignment horizontal="right" vertical="center" wrapText="1" indent="1"/>
    </xf>
    <xf numFmtId="169" fontId="53" fillId="0" borderId="60" xfId="0" applyNumberFormat="1" applyFont="1" applyBorder="1" applyAlignment="1">
      <alignment horizontal="right" vertical="center" wrapText="1" indent="1"/>
    </xf>
    <xf numFmtId="0" fontId="45" fillId="0" borderId="73" xfId="0" applyFont="1" applyBorder="1" applyAlignment="1">
      <alignment horizontal="left" vertical="center" wrapText="1" indent="1"/>
    </xf>
    <xf numFmtId="0" fontId="45" fillId="0" borderId="67" xfId="0" applyFont="1" applyBorder="1" applyAlignment="1">
      <alignment horizontal="left" vertical="center" wrapText="1" indent="1"/>
    </xf>
    <xf numFmtId="0" fontId="45" fillId="0" borderId="64" xfId="0" applyFont="1" applyBorder="1" applyAlignment="1">
      <alignment horizontal="left" vertical="center" wrapText="1" indent="1"/>
    </xf>
    <xf numFmtId="169" fontId="45" fillId="0" borderId="22" xfId="0" applyNumberFormat="1" applyFont="1" applyBorder="1" applyAlignment="1">
      <alignment horizontal="right" vertical="center" wrapText="1" indent="1"/>
    </xf>
    <xf numFmtId="169" fontId="45" fillId="0" borderId="19" xfId="0" applyNumberFormat="1" applyFont="1" applyBorder="1" applyAlignment="1">
      <alignment horizontal="right" vertical="center" wrapText="1" indent="1"/>
    </xf>
    <xf numFmtId="169" fontId="45" fillId="0" borderId="29" xfId="0" applyNumberFormat="1" applyFont="1" applyBorder="1" applyAlignment="1">
      <alignment horizontal="right" vertical="center" wrapText="1" indent="1"/>
    </xf>
    <xf numFmtId="0" fontId="53" fillId="0" borderId="23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14" fillId="0" borderId="0" xfId="106" applyFont="1" applyAlignment="1">
      <alignment horizontal="center"/>
      <protection/>
    </xf>
    <xf numFmtId="3" fontId="0" fillId="0" borderId="69" xfId="0" applyNumberFormat="1" applyFont="1" applyBorder="1" applyAlignment="1">
      <alignment/>
    </xf>
    <xf numFmtId="0" fontId="18" fillId="0" borderId="0" xfId="106" applyFont="1" applyAlignment="1">
      <alignment wrapText="1"/>
      <protection/>
    </xf>
    <xf numFmtId="0" fontId="3" fillId="0" borderId="39" xfId="0" applyFont="1" applyBorder="1" applyAlignment="1">
      <alignment horizontal="centerContinuous" vertical="center" wrapText="1"/>
    </xf>
    <xf numFmtId="3" fontId="7" fillId="0" borderId="25" xfId="0" applyNumberFormat="1" applyFont="1" applyBorder="1" applyAlignment="1">
      <alignment vertical="center"/>
    </xf>
    <xf numFmtId="3" fontId="7" fillId="0" borderId="62" xfId="0" applyNumberFormat="1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2" fillId="0" borderId="45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10" fontId="7" fillId="0" borderId="47" xfId="0" applyNumberFormat="1" applyFont="1" applyBorder="1" applyAlignment="1">
      <alignment horizontal="right" vertical="center"/>
    </xf>
    <xf numFmtId="3" fontId="7" fillId="49" borderId="25" xfId="0" applyNumberFormat="1" applyFont="1" applyFill="1" applyBorder="1" applyAlignment="1">
      <alignment horizontal="right" vertical="center" wrapText="1"/>
    </xf>
    <xf numFmtId="10" fontId="3" fillId="0" borderId="45" xfId="0" applyNumberFormat="1" applyFont="1" applyBorder="1" applyAlignment="1">
      <alignment horizontal="centerContinuous" vertical="center" wrapText="1"/>
    </xf>
    <xf numFmtId="0" fontId="53" fillId="0" borderId="26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left" vertical="center" wrapText="1" indent="1"/>
    </xf>
    <xf numFmtId="169" fontId="53" fillId="0" borderId="42" xfId="0" applyNumberFormat="1" applyFont="1" applyBorder="1" applyAlignment="1">
      <alignment horizontal="right" vertical="center" wrapText="1" indent="1"/>
    </xf>
    <xf numFmtId="169" fontId="45" fillId="0" borderId="42" xfId="0" applyNumberFormat="1" applyFont="1" applyBorder="1" applyAlignment="1">
      <alignment horizontal="right" vertical="center" wrapText="1" indent="1"/>
    </xf>
    <xf numFmtId="169" fontId="53" fillId="0" borderId="26" xfId="0" applyNumberFormat="1" applyFont="1" applyBorder="1" applyAlignment="1">
      <alignment horizontal="right" vertical="center" wrapText="1" indent="1"/>
    </xf>
    <xf numFmtId="0" fontId="75" fillId="0" borderId="37" xfId="0" applyFont="1" applyBorder="1" applyAlignment="1">
      <alignment vertical="center" wrapText="1"/>
    </xf>
    <xf numFmtId="3" fontId="32" fillId="0" borderId="28" xfId="106" applyNumberFormat="1" applyFont="1" applyBorder="1" applyAlignment="1">
      <alignment vertical="center"/>
      <protection/>
    </xf>
    <xf numFmtId="10" fontId="32" fillId="0" borderId="28" xfId="106" applyNumberFormat="1" applyFont="1" applyBorder="1" applyAlignment="1">
      <alignment horizontal="right" vertical="center" wrapText="1"/>
      <protection/>
    </xf>
    <xf numFmtId="3" fontId="41" fillId="51" borderId="67" xfId="106" applyNumberFormat="1" applyFont="1" applyFill="1" applyBorder="1" applyAlignment="1">
      <alignment horizontal="right"/>
      <protection/>
    </xf>
    <xf numFmtId="3" fontId="14" fillId="0" borderId="0" xfId="106" applyNumberFormat="1" applyFont="1" applyAlignment="1">
      <alignment horizontal="center"/>
      <protection/>
    </xf>
    <xf numFmtId="3" fontId="41" fillId="51" borderId="64" xfId="106" applyNumberFormat="1" applyFont="1" applyFill="1" applyBorder="1" applyAlignment="1">
      <alignment horizontal="right"/>
      <protection/>
    </xf>
    <xf numFmtId="3" fontId="41" fillId="51" borderId="28" xfId="106" applyNumberFormat="1" applyFont="1" applyFill="1" applyBorder="1" applyAlignment="1">
      <alignment horizontal="right"/>
      <protection/>
    </xf>
    <xf numFmtId="3" fontId="15" fillId="0" borderId="0" xfId="106" applyNumberFormat="1" applyFont="1">
      <alignment/>
      <protection/>
    </xf>
    <xf numFmtId="3" fontId="134" fillId="0" borderId="0" xfId="0" applyNumberFormat="1" applyFont="1" applyAlignment="1">
      <alignment/>
    </xf>
    <xf numFmtId="0" fontId="135" fillId="0" borderId="0" xfId="0" applyFont="1" applyAlignment="1">
      <alignment/>
    </xf>
    <xf numFmtId="3" fontId="7" fillId="0" borderId="42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Border="1" applyAlignment="1" applyProtection="1">
      <alignment horizontal="right" vertical="center"/>
      <protection locked="0"/>
    </xf>
    <xf numFmtId="3" fontId="7" fillId="0" borderId="24" xfId="0" applyNumberFormat="1" applyFont="1" applyBorder="1" applyAlignment="1" applyProtection="1">
      <alignment horizontal="right" vertical="center"/>
      <protection locked="0"/>
    </xf>
    <xf numFmtId="10" fontId="7" fillId="0" borderId="25" xfId="0" applyNumberFormat="1" applyFont="1" applyBorder="1" applyAlignment="1" applyProtection="1">
      <alignment horizontal="right" vertical="center"/>
      <protection locked="0"/>
    </xf>
    <xf numFmtId="3" fontId="7" fillId="0" borderId="23" xfId="0" applyNumberFormat="1" applyFont="1" applyBorder="1" applyAlignment="1" applyProtection="1">
      <alignment horizontal="right" vertical="center"/>
      <protection locked="0"/>
    </xf>
    <xf numFmtId="3" fontId="7" fillId="0" borderId="20" xfId="0" applyNumberFormat="1" applyFont="1" applyBorder="1" applyAlignment="1" applyProtection="1">
      <alignment horizontal="right" vertical="center"/>
      <protection locked="0"/>
    </xf>
    <xf numFmtId="3" fontId="7" fillId="0" borderId="22" xfId="0" applyNumberFormat="1" applyFont="1" applyBorder="1" applyAlignment="1" applyProtection="1">
      <alignment horizontal="right" vertical="center"/>
      <protection locked="0"/>
    </xf>
    <xf numFmtId="3" fontId="7" fillId="0" borderId="30" xfId="0" applyNumberFormat="1" applyFont="1" applyBorder="1" applyAlignment="1" applyProtection="1">
      <alignment horizontal="right" vertical="center"/>
      <protection locked="0"/>
    </xf>
    <xf numFmtId="3" fontId="7" fillId="0" borderId="42" xfId="0" applyNumberFormat="1" applyFont="1" applyBorder="1" applyAlignment="1" applyProtection="1">
      <alignment horizontal="right" vertical="center"/>
      <protection locked="0"/>
    </xf>
    <xf numFmtId="10" fontId="7" fillId="0" borderId="59" xfId="0" applyNumberFormat="1" applyFont="1" applyBorder="1" applyAlignment="1" applyProtection="1">
      <alignment horizontal="right" vertical="center"/>
      <protection locked="0"/>
    </xf>
    <xf numFmtId="3" fontId="7" fillId="0" borderId="26" xfId="0" applyNumberFormat="1" applyFont="1" applyBorder="1" applyAlignment="1" applyProtection="1">
      <alignment horizontal="right" vertical="center"/>
      <protection locked="0"/>
    </xf>
    <xf numFmtId="3" fontId="7" fillId="0" borderId="19" xfId="0" applyNumberFormat="1" applyFont="1" applyBorder="1" applyAlignment="1" applyProtection="1">
      <alignment vertical="center"/>
      <protection locked="0"/>
    </xf>
    <xf numFmtId="3" fontId="7" fillId="0" borderId="24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3" fontId="7" fillId="0" borderId="26" xfId="0" applyNumberFormat="1" applyFont="1" applyBorder="1" applyAlignment="1" applyProtection="1">
      <alignment vertical="center"/>
      <protection locked="0"/>
    </xf>
    <xf numFmtId="3" fontId="7" fillId="0" borderId="29" xfId="0" applyNumberFormat="1" applyFont="1" applyBorder="1" applyAlignment="1" applyProtection="1">
      <alignment vertical="center"/>
      <protection locked="0"/>
    </xf>
    <xf numFmtId="3" fontId="7" fillId="0" borderId="28" xfId="0" applyNumberFormat="1" applyFont="1" applyBorder="1" applyAlignment="1" applyProtection="1">
      <alignment vertical="center"/>
      <protection locked="0"/>
    </xf>
    <xf numFmtId="10" fontId="7" fillId="0" borderId="61" xfId="0" applyNumberFormat="1" applyFont="1" applyBorder="1" applyAlignment="1" applyProtection="1">
      <alignment vertical="center"/>
      <protection locked="0"/>
    </xf>
    <xf numFmtId="0" fontId="136" fillId="0" borderId="0" xfId="106" applyFont="1">
      <alignment/>
      <protection/>
    </xf>
    <xf numFmtId="3" fontId="11" fillId="0" borderId="35" xfId="106" applyNumberFormat="1" applyBorder="1" applyAlignment="1">
      <alignment vertical="center"/>
      <protection/>
    </xf>
    <xf numFmtId="3" fontId="7" fillId="0" borderId="59" xfId="0" applyNumberFormat="1" applyFont="1" applyBorder="1" applyAlignment="1" applyProtection="1">
      <alignment vertical="center"/>
      <protection locked="0"/>
    </xf>
    <xf numFmtId="3" fontId="7" fillId="0" borderId="25" xfId="0" applyNumberFormat="1" applyFont="1" applyBorder="1" applyAlignment="1">
      <alignment horizontal="right" vertical="center"/>
    </xf>
    <xf numFmtId="3" fontId="7" fillId="0" borderId="25" xfId="0" applyNumberFormat="1" applyFont="1" applyBorder="1" applyAlignment="1" applyProtection="1">
      <alignment horizontal="right" vertical="center"/>
      <protection locked="0"/>
    </xf>
    <xf numFmtId="3" fontId="7" fillId="0" borderId="59" xfId="0" applyNumberFormat="1" applyFont="1" applyBorder="1" applyAlignment="1" applyProtection="1">
      <alignment horizontal="right" vertical="center"/>
      <protection locked="0"/>
    </xf>
    <xf numFmtId="3" fontId="7" fillId="0" borderId="21" xfId="0" applyNumberFormat="1" applyFont="1" applyBorder="1" applyAlignment="1">
      <alignment horizontal="right" vertical="center"/>
    </xf>
    <xf numFmtId="3" fontId="7" fillId="0" borderId="61" xfId="0" applyNumberFormat="1" applyFont="1" applyBorder="1" applyAlignment="1" applyProtection="1">
      <alignment vertical="center"/>
      <protection locked="0"/>
    </xf>
    <xf numFmtId="3" fontId="7" fillId="0" borderId="25" xfId="0" applyNumberFormat="1" applyFont="1" applyBorder="1" applyAlignment="1" applyProtection="1">
      <alignment vertical="center"/>
      <protection locked="0"/>
    </xf>
    <xf numFmtId="10" fontId="45" fillId="0" borderId="59" xfId="0" applyNumberFormat="1" applyFont="1" applyBorder="1" applyAlignment="1">
      <alignment horizontal="right" vertical="center" wrapText="1" indent="1"/>
    </xf>
    <xf numFmtId="169" fontId="45" fillId="0" borderId="59" xfId="0" applyNumberFormat="1" applyFont="1" applyBorder="1" applyAlignment="1">
      <alignment horizontal="right" vertical="center" wrapText="1" indent="1"/>
    </xf>
    <xf numFmtId="169" fontId="45" fillId="0" borderId="26" xfId="0" applyNumberFormat="1" applyFont="1" applyBorder="1" applyAlignment="1">
      <alignment horizontal="right" vertical="center" wrapText="1" indent="1"/>
    </xf>
    <xf numFmtId="169" fontId="45" fillId="0" borderId="25" xfId="0" applyNumberFormat="1" applyFont="1" applyBorder="1" applyAlignment="1">
      <alignment horizontal="right" vertical="center" wrapText="1" indent="1"/>
    </xf>
    <xf numFmtId="10" fontId="45" fillId="0" borderId="61" xfId="0" applyNumberFormat="1" applyFont="1" applyBorder="1" applyAlignment="1">
      <alignment horizontal="right" vertical="center" wrapText="1" indent="1"/>
    </xf>
    <xf numFmtId="169" fontId="45" fillId="0" borderId="60" xfId="0" applyNumberFormat="1" applyFont="1" applyBorder="1" applyAlignment="1">
      <alignment horizontal="right" vertical="center" wrapText="1" indent="1"/>
    </xf>
    <xf numFmtId="169" fontId="45" fillId="0" borderId="23" xfId="0" applyNumberFormat="1" applyFont="1" applyBorder="1" applyAlignment="1">
      <alignment horizontal="right" vertical="center" wrapText="1" indent="1"/>
    </xf>
    <xf numFmtId="10" fontId="45" fillId="0" borderId="21" xfId="0" applyNumberFormat="1" applyFont="1" applyBorder="1" applyAlignment="1">
      <alignment horizontal="right" vertical="center" wrapText="1" indent="1"/>
    </xf>
    <xf numFmtId="169" fontId="45" fillId="0" borderId="94" xfId="0" applyNumberFormat="1" applyFont="1" applyBorder="1" applyAlignment="1">
      <alignment horizontal="right" vertical="center" wrapText="1" indent="1"/>
    </xf>
    <xf numFmtId="3" fontId="4" fillId="0" borderId="0" xfId="0" applyNumberFormat="1" applyFont="1" applyAlignment="1">
      <alignment vertical="center"/>
    </xf>
    <xf numFmtId="3" fontId="3" fillId="0" borderId="44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10" fontId="3" fillId="0" borderId="45" xfId="0" applyNumberFormat="1" applyFont="1" applyBorder="1" applyAlignment="1">
      <alignment horizontal="right" vertical="center" wrapText="1"/>
    </xf>
    <xf numFmtId="3" fontId="7" fillId="0" borderId="22" xfId="0" applyNumberFormat="1" applyFont="1" applyBorder="1" applyAlignment="1">
      <alignment horizontal="right" vertical="center" wrapText="1"/>
    </xf>
    <xf numFmtId="3" fontId="7" fillId="0" borderId="30" xfId="0" applyNumberFormat="1" applyFont="1" applyBorder="1" applyAlignment="1">
      <alignment horizontal="right" vertical="center" wrapText="1"/>
    </xf>
    <xf numFmtId="10" fontId="7" fillId="0" borderId="47" xfId="0" applyNumberFormat="1" applyFont="1" applyBorder="1" applyAlignment="1">
      <alignment horizontal="right" vertical="center" wrapText="1"/>
    </xf>
    <xf numFmtId="3" fontId="7" fillId="0" borderId="47" xfId="0" applyNumberFormat="1" applyFont="1" applyBorder="1" applyAlignment="1">
      <alignment horizontal="right" vertical="center" wrapText="1"/>
    </xf>
    <xf numFmtId="3" fontId="7" fillId="0" borderId="19" xfId="0" applyNumberFormat="1" applyFont="1" applyBorder="1" applyAlignment="1" applyProtection="1">
      <alignment horizontal="right" vertical="center" wrapText="1"/>
      <protection locked="0"/>
    </xf>
    <xf numFmtId="3" fontId="7" fillId="0" borderId="24" xfId="0" applyNumberFormat="1" applyFont="1" applyBorder="1" applyAlignment="1" applyProtection="1">
      <alignment horizontal="right" vertical="center" wrapText="1"/>
      <protection locked="0"/>
    </xf>
    <xf numFmtId="10" fontId="7" fillId="0" borderId="25" xfId="0" applyNumberFormat="1" applyFont="1" applyBorder="1" applyAlignment="1" applyProtection="1">
      <alignment horizontal="right" vertical="center" wrapText="1"/>
      <protection locked="0"/>
    </xf>
    <xf numFmtId="3" fontId="7" fillId="0" borderId="25" xfId="0" applyNumberFormat="1" applyFont="1" applyBorder="1" applyAlignment="1" applyProtection="1">
      <alignment horizontal="right" vertical="center" wrapText="1"/>
      <protection locked="0"/>
    </xf>
    <xf numFmtId="3" fontId="7" fillId="0" borderId="19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3" fontId="7" fillId="0" borderId="25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 applyProtection="1">
      <alignment horizontal="right" vertical="center" wrapText="1"/>
      <protection locked="0"/>
    </xf>
    <xf numFmtId="3" fontId="7" fillId="0" borderId="20" xfId="0" applyNumberFormat="1" applyFont="1" applyBorder="1" applyAlignment="1" applyProtection="1">
      <alignment horizontal="right" vertical="center" wrapText="1"/>
      <protection locked="0"/>
    </xf>
    <xf numFmtId="10" fontId="7" fillId="0" borderId="21" xfId="0" applyNumberFormat="1" applyFont="1" applyBorder="1" applyAlignment="1" applyProtection="1">
      <alignment horizontal="right" vertical="center" wrapText="1"/>
      <protection locked="0"/>
    </xf>
    <xf numFmtId="3" fontId="7" fillId="0" borderId="26" xfId="0" applyNumberFormat="1" applyFont="1" applyBorder="1" applyAlignment="1" applyProtection="1">
      <alignment horizontal="right" vertical="center" wrapText="1"/>
      <protection locked="0"/>
    </xf>
    <xf numFmtId="3" fontId="7" fillId="0" borderId="42" xfId="0" applyNumberFormat="1" applyFont="1" applyBorder="1" applyAlignment="1" applyProtection="1">
      <alignment horizontal="right" vertical="center" wrapText="1"/>
      <protection locked="0"/>
    </xf>
    <xf numFmtId="0" fontId="0" fillId="0" borderId="35" xfId="0" applyFont="1" applyBorder="1" applyAlignment="1">
      <alignment/>
    </xf>
    <xf numFmtId="0" fontId="0" fillId="0" borderId="0" xfId="0" applyFont="1" applyAlignment="1">
      <alignment/>
    </xf>
    <xf numFmtId="0" fontId="135" fillId="0" borderId="0" xfId="0" applyFont="1" applyAlignment="1">
      <alignment/>
    </xf>
    <xf numFmtId="3" fontId="134" fillId="0" borderId="0" xfId="0" applyNumberFormat="1" applyFont="1" applyAlignment="1">
      <alignment/>
    </xf>
    <xf numFmtId="0" fontId="66" fillId="0" borderId="37" xfId="105" applyFont="1" applyBorder="1" applyAlignment="1">
      <alignment wrapText="1"/>
      <protection/>
    </xf>
    <xf numFmtId="10" fontId="41" fillId="0" borderId="64" xfId="106" applyNumberFormat="1" applyFont="1" applyBorder="1" applyAlignment="1">
      <alignment horizontal="right"/>
      <protection/>
    </xf>
    <xf numFmtId="0" fontId="53" fillId="0" borderId="51" xfId="0" applyFont="1" applyBorder="1" applyAlignment="1">
      <alignment horizontal="center" vertical="center" wrapText="1"/>
    </xf>
    <xf numFmtId="0" fontId="9" fillId="0" borderId="0" xfId="97" applyFont="1" applyAlignment="1">
      <alignment horizontal="right"/>
      <protection/>
    </xf>
    <xf numFmtId="0" fontId="6" fillId="0" borderId="44" xfId="97" applyFont="1" applyBorder="1" applyAlignment="1">
      <alignment horizontal="center" vertical="center" wrapText="1"/>
      <protection/>
    </xf>
    <xf numFmtId="0" fontId="6" fillId="0" borderId="0" xfId="97" applyFont="1" applyAlignment="1">
      <alignment horizontal="center"/>
      <protection/>
    </xf>
    <xf numFmtId="0" fontId="0" fillId="0" borderId="0" xfId="97" applyAlignment="1">
      <alignment wrapText="1"/>
      <protection/>
    </xf>
    <xf numFmtId="0" fontId="6" fillId="0" borderId="54" xfId="97" applyFont="1" applyBorder="1">
      <alignment/>
      <protection/>
    </xf>
    <xf numFmtId="0" fontId="6" fillId="0" borderId="24" xfId="97" applyFont="1" applyBorder="1">
      <alignment/>
      <protection/>
    </xf>
    <xf numFmtId="3" fontId="6" fillId="0" borderId="24" xfId="97" applyNumberFormat="1" applyFont="1" applyBorder="1" applyAlignment="1">
      <alignment wrapText="1"/>
      <protection/>
    </xf>
    <xf numFmtId="3" fontId="6" fillId="0" borderId="24" xfId="97" applyNumberFormat="1" applyFont="1" applyBorder="1">
      <alignment/>
      <protection/>
    </xf>
    <xf numFmtId="0" fontId="6" fillId="0" borderId="26" xfId="97" applyFont="1" applyBorder="1" applyAlignment="1">
      <alignment horizontal="center" vertical="center"/>
      <protection/>
    </xf>
    <xf numFmtId="0" fontId="0" fillId="0" borderId="42" xfId="97" applyBorder="1" applyAlignment="1">
      <alignment wrapText="1"/>
      <protection/>
    </xf>
    <xf numFmtId="0" fontId="0" fillId="0" borderId="42" xfId="97" applyBorder="1">
      <alignment/>
      <protection/>
    </xf>
    <xf numFmtId="0" fontId="0" fillId="0" borderId="28" xfId="97" applyBorder="1">
      <alignment/>
      <protection/>
    </xf>
    <xf numFmtId="0" fontId="0" fillId="0" borderId="0" xfId="97" applyAlignment="1">
      <alignment horizontal="left" vertical="center" wrapText="1"/>
      <protection/>
    </xf>
    <xf numFmtId="0" fontId="6" fillId="0" borderId="22" xfId="97" applyFont="1" applyBorder="1" applyAlignment="1">
      <alignment horizontal="center" vertical="center"/>
      <protection/>
    </xf>
    <xf numFmtId="0" fontId="0" fillId="0" borderId="30" xfId="97" applyBorder="1" applyAlignment="1">
      <alignment horizontal="left" vertical="center" wrapText="1"/>
      <protection/>
    </xf>
    <xf numFmtId="0" fontId="0" fillId="0" borderId="30" xfId="97" applyBorder="1" applyAlignment="1">
      <alignment horizontal="left" vertical="center"/>
      <protection/>
    </xf>
    <xf numFmtId="0" fontId="6" fillId="0" borderId="22" xfId="97" applyFont="1" applyBorder="1" applyAlignment="1">
      <alignment horizontal="center" vertical="center" wrapText="1"/>
      <protection/>
    </xf>
    <xf numFmtId="0" fontId="0" fillId="0" borderId="30" xfId="97" applyBorder="1" applyAlignment="1">
      <alignment vertical="center" wrapText="1"/>
      <protection/>
    </xf>
    <xf numFmtId="3" fontId="0" fillId="0" borderId="30" xfId="97" applyNumberFormat="1" applyBorder="1" applyAlignment="1">
      <alignment vertical="center" wrapText="1"/>
      <protection/>
    </xf>
    <xf numFmtId="0" fontId="0" fillId="0" borderId="30" xfId="97" applyBorder="1" applyAlignment="1">
      <alignment vertical="center"/>
      <protection/>
    </xf>
    <xf numFmtId="0" fontId="0" fillId="0" borderId="53" xfId="97" applyBorder="1" applyAlignment="1">
      <alignment vertical="center" wrapText="1"/>
      <protection/>
    </xf>
    <xf numFmtId="3" fontId="0" fillId="0" borderId="53" xfId="97" applyNumberFormat="1" applyBorder="1" applyAlignment="1">
      <alignment vertical="center" wrapText="1"/>
      <protection/>
    </xf>
    <xf numFmtId="0" fontId="0" fillId="0" borderId="53" xfId="97" applyBorder="1" applyAlignment="1">
      <alignment vertical="center"/>
      <protection/>
    </xf>
    <xf numFmtId="3" fontId="66" fillId="0" borderId="0" xfId="105" applyNumberFormat="1" applyFont="1">
      <alignment/>
      <protection/>
    </xf>
    <xf numFmtId="3" fontId="66" fillId="51" borderId="28" xfId="105" applyNumberFormat="1" applyFont="1" applyFill="1" applyBorder="1">
      <alignment/>
      <protection/>
    </xf>
    <xf numFmtId="3" fontId="92" fillId="0" borderId="27" xfId="105" applyNumberFormat="1" applyFont="1" applyBorder="1" applyAlignment="1">
      <alignment vertical="center"/>
      <protection/>
    </xf>
    <xf numFmtId="3" fontId="71" fillId="0" borderId="0" xfId="106" applyNumberFormat="1" applyFont="1">
      <alignment/>
      <protection/>
    </xf>
    <xf numFmtId="3" fontId="6" fillId="0" borderId="0" xfId="0" applyNumberFormat="1" applyFont="1" applyAlignment="1">
      <alignment/>
    </xf>
    <xf numFmtId="3" fontId="93" fillId="0" borderId="24" xfId="105" applyNumberFormat="1" applyFont="1" applyBorder="1">
      <alignment/>
      <protection/>
    </xf>
    <xf numFmtId="0" fontId="15" fillId="0" borderId="19" xfId="106" applyFont="1" applyBorder="1" applyAlignment="1">
      <alignment horizontal="left" wrapText="1"/>
      <protection/>
    </xf>
    <xf numFmtId="169" fontId="45" fillId="0" borderId="98" xfId="100" applyNumberFormat="1" applyFont="1" applyBorder="1" applyAlignment="1">
      <alignment horizontal="left" vertical="center" wrapText="1" indent="1"/>
      <protection/>
    </xf>
    <xf numFmtId="169" fontId="45" fillId="0" borderId="78" xfId="100" applyNumberFormat="1" applyFont="1" applyBorder="1" applyAlignment="1">
      <alignment horizontal="left" vertical="center" wrapText="1" indent="1"/>
      <protection/>
    </xf>
    <xf numFmtId="169" fontId="53" fillId="0" borderId="77" xfId="100" applyNumberFormat="1" applyFont="1" applyBorder="1" applyAlignment="1">
      <alignment horizontal="left" vertical="center" wrapText="1" indent="1"/>
      <protection/>
    </xf>
    <xf numFmtId="169" fontId="45" fillId="0" borderId="79" xfId="100" applyNumberFormat="1" applyFont="1" applyBorder="1" applyAlignment="1">
      <alignment horizontal="left" vertical="center" wrapText="1" indent="1"/>
      <protection/>
    </xf>
    <xf numFmtId="3" fontId="76" fillId="0" borderId="29" xfId="108" applyNumberFormat="1" applyFont="1" applyBorder="1">
      <alignment/>
      <protection/>
    </xf>
    <xf numFmtId="3" fontId="76" fillId="0" borderId="28" xfId="108" applyNumberFormat="1" applyFont="1" applyBorder="1">
      <alignment/>
      <protection/>
    </xf>
    <xf numFmtId="10" fontId="76" fillId="0" borderId="61" xfId="108" applyNumberFormat="1" applyFont="1" applyBorder="1" applyAlignment="1">
      <alignment vertical="top"/>
      <protection/>
    </xf>
    <xf numFmtId="3" fontId="76" fillId="0" borderId="61" xfId="108" applyNumberFormat="1" applyFont="1" applyBorder="1">
      <alignment/>
      <protection/>
    </xf>
    <xf numFmtId="0" fontId="41" fillId="0" borderId="0" xfId="106" applyFont="1">
      <alignment/>
      <protection/>
    </xf>
    <xf numFmtId="3" fontId="41" fillId="0" borderId="0" xfId="106" applyNumberFormat="1" applyFont="1">
      <alignment/>
      <protection/>
    </xf>
    <xf numFmtId="3" fontId="15" fillId="0" borderId="0" xfId="106" applyNumberFormat="1" applyFont="1">
      <alignment/>
      <protection/>
    </xf>
    <xf numFmtId="0" fontId="12" fillId="0" borderId="26" xfId="106" applyFont="1" applyBorder="1" applyAlignment="1">
      <alignment horizontal="center" vertical="center" wrapText="1"/>
      <protection/>
    </xf>
    <xf numFmtId="0" fontId="12" fillId="0" borderId="19" xfId="106" applyFont="1" applyBorder="1" applyAlignment="1">
      <alignment horizontal="center" vertical="center"/>
      <protection/>
    </xf>
    <xf numFmtId="0" fontId="12" fillId="0" borderId="25" xfId="106" applyFont="1" applyBorder="1" applyAlignment="1">
      <alignment horizontal="center" vertical="center"/>
      <protection/>
    </xf>
    <xf numFmtId="0" fontId="12" fillId="0" borderId="42" xfId="106" applyFont="1" applyBorder="1" applyAlignment="1">
      <alignment horizontal="center" vertical="center"/>
      <protection/>
    </xf>
    <xf numFmtId="0" fontId="12" fillId="0" borderId="42" xfId="106" applyFont="1" applyBorder="1" applyAlignment="1">
      <alignment horizontal="center" vertical="center" wrapText="1"/>
      <protection/>
    </xf>
    <xf numFmtId="0" fontId="12" fillId="0" borderId="78" xfId="106" applyFont="1" applyBorder="1" applyAlignment="1">
      <alignment horizontal="center" vertical="center" wrapText="1"/>
      <protection/>
    </xf>
    <xf numFmtId="0" fontId="12" fillId="0" borderId="78" xfId="106" applyFont="1" applyBorder="1" applyAlignment="1">
      <alignment horizontal="center" vertical="center"/>
      <protection/>
    </xf>
    <xf numFmtId="0" fontId="12" fillId="0" borderId="36" xfId="106" applyFont="1" applyBorder="1" applyAlignment="1">
      <alignment horizontal="center" vertical="center"/>
      <protection/>
    </xf>
    <xf numFmtId="3" fontId="66" fillId="0" borderId="0" xfId="105" applyNumberFormat="1" applyFont="1" applyAlignment="1">
      <alignment vertical="center"/>
      <protection/>
    </xf>
    <xf numFmtId="0" fontId="12" fillId="0" borderId="23" xfId="106" applyFont="1" applyBorder="1" applyAlignment="1">
      <alignment vertical="center" wrapText="1"/>
      <protection/>
    </xf>
    <xf numFmtId="10" fontId="18" fillId="0" borderId="21" xfId="106" applyNumberFormat="1" applyFont="1" applyBorder="1" applyAlignment="1">
      <alignment horizontal="right"/>
      <protection/>
    </xf>
    <xf numFmtId="3" fontId="18" fillId="0" borderId="94" xfId="68" applyNumberFormat="1" applyFont="1" applyBorder="1" applyAlignment="1">
      <alignment horizontal="right" vertical="center"/>
    </xf>
    <xf numFmtId="0" fontId="15" fillId="0" borderId="0" xfId="106" applyFont="1" applyAlignment="1">
      <alignment wrapText="1"/>
      <protection/>
    </xf>
    <xf numFmtId="0" fontId="15" fillId="0" borderId="0" xfId="106" applyFont="1">
      <alignment/>
      <protection/>
    </xf>
    <xf numFmtId="10" fontId="53" fillId="0" borderId="39" xfId="0" applyNumberFormat="1" applyFont="1" applyBorder="1" applyAlignment="1" applyProtection="1">
      <alignment horizontal="right" vertical="center" wrapText="1" indent="1"/>
      <protection locked="0"/>
    </xf>
    <xf numFmtId="10" fontId="53" fillId="0" borderId="63" xfId="0" applyNumberFormat="1" applyFont="1" applyBorder="1" applyAlignment="1">
      <alignment horizontal="right" vertical="center" wrapText="1" indent="1"/>
    </xf>
    <xf numFmtId="10" fontId="53" fillId="0" borderId="73" xfId="0" applyNumberFormat="1" applyFont="1" applyBorder="1" applyAlignment="1">
      <alignment horizontal="right" vertical="center" wrapText="1" indent="1"/>
    </xf>
    <xf numFmtId="10" fontId="53" fillId="0" borderId="70" xfId="0" applyNumberFormat="1" applyFont="1" applyBorder="1" applyAlignment="1">
      <alignment horizontal="right" vertical="center" wrapText="1" indent="1"/>
    </xf>
    <xf numFmtId="10" fontId="53" fillId="0" borderId="67" xfId="0" applyNumberFormat="1" applyFont="1" applyBorder="1" applyAlignment="1">
      <alignment horizontal="right" vertical="center" wrapText="1" indent="1"/>
    </xf>
    <xf numFmtId="10" fontId="53" fillId="0" borderId="64" xfId="0" applyNumberFormat="1" applyFont="1" applyBorder="1" applyAlignment="1">
      <alignment horizontal="right" vertical="center" wrapText="1" indent="1"/>
    </xf>
    <xf numFmtId="10" fontId="53" fillId="0" borderId="96" xfId="0" applyNumberFormat="1" applyFont="1" applyBorder="1" applyAlignment="1" applyProtection="1">
      <alignment horizontal="right" vertical="center" wrapText="1" indent="1"/>
      <protection locked="0"/>
    </xf>
    <xf numFmtId="10" fontId="45" fillId="0" borderId="67" xfId="0" applyNumberFormat="1" applyFont="1" applyBorder="1" applyAlignment="1" applyProtection="1">
      <alignment horizontal="right" vertical="center" wrapText="1" indent="1"/>
      <protection locked="0"/>
    </xf>
    <xf numFmtId="10" fontId="45" fillId="0" borderId="73" xfId="0" applyNumberFormat="1" applyFont="1" applyBorder="1" applyAlignment="1" applyProtection="1">
      <alignment horizontal="right" vertical="center" wrapText="1" indent="1"/>
      <protection locked="0"/>
    </xf>
    <xf numFmtId="10" fontId="45" fillId="0" borderId="74" xfId="0" applyNumberFormat="1" applyFont="1" applyBorder="1" applyAlignment="1" applyProtection="1">
      <alignment horizontal="right" vertical="center" wrapText="1" indent="1"/>
      <protection locked="0"/>
    </xf>
    <xf numFmtId="10" fontId="53" fillId="0" borderId="63" xfId="0" applyNumberFormat="1" applyFont="1" applyBorder="1" applyAlignment="1" applyProtection="1">
      <alignment horizontal="right" vertical="center" wrapText="1" indent="1"/>
      <protection locked="0"/>
    </xf>
    <xf numFmtId="10" fontId="45" fillId="0" borderId="67" xfId="0" applyNumberFormat="1" applyFont="1" applyBorder="1" applyAlignment="1" applyProtection="1">
      <alignment horizontal="right" vertical="center" wrapText="1" indent="1"/>
      <protection locked="0"/>
    </xf>
    <xf numFmtId="10" fontId="45" fillId="0" borderId="75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31" xfId="0" applyNumberFormat="1" applyFont="1" applyBorder="1" applyAlignment="1">
      <alignment horizontal="right" vertical="center" wrapText="1" indent="1"/>
    </xf>
    <xf numFmtId="169" fontId="53" fillId="0" borderId="90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9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106" applyFont="1" applyAlignment="1">
      <alignment horizontal="center"/>
      <protection/>
    </xf>
    <xf numFmtId="0" fontId="18" fillId="0" borderId="0" xfId="106" applyFont="1" applyAlignment="1">
      <alignment horizontal="center" wrapText="1"/>
      <protection/>
    </xf>
    <xf numFmtId="0" fontId="12" fillId="0" borderId="0" xfId="106" applyFont="1" applyAlignment="1">
      <alignment horizontal="center"/>
      <protection/>
    </xf>
    <xf numFmtId="0" fontId="6" fillId="0" borderId="32" xfId="106" applyFont="1" applyBorder="1" applyAlignment="1">
      <alignment horizontal="center" vertical="center"/>
      <protection/>
    </xf>
    <xf numFmtId="0" fontId="6" fillId="0" borderId="27" xfId="106" applyFont="1" applyBorder="1" applyAlignment="1">
      <alignment horizontal="center" vertical="center" wrapText="1"/>
      <protection/>
    </xf>
    <xf numFmtId="0" fontId="6" fillId="0" borderId="39" xfId="106" applyFont="1" applyBorder="1" applyAlignment="1">
      <alignment horizontal="center" vertical="center"/>
      <protection/>
    </xf>
    <xf numFmtId="0" fontId="6" fillId="0" borderId="44" xfId="106" applyFont="1" applyBorder="1" applyAlignment="1">
      <alignment horizontal="center" vertical="center" wrapText="1"/>
      <protection/>
    </xf>
    <xf numFmtId="0" fontId="2" fillId="0" borderId="36" xfId="106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6" fillId="0" borderId="27" xfId="106" applyFont="1" applyBorder="1" applyAlignment="1">
      <alignment vertical="center" wrapText="1"/>
      <protection/>
    </xf>
    <xf numFmtId="0" fontId="6" fillId="0" borderId="63" xfId="106" applyFont="1" applyBorder="1" applyAlignment="1">
      <alignment vertical="center"/>
      <protection/>
    </xf>
    <xf numFmtId="3" fontId="3" fillId="0" borderId="44" xfId="106" applyNumberFormat="1" applyFont="1" applyBorder="1" applyAlignment="1">
      <alignment vertical="center"/>
      <protection/>
    </xf>
    <xf numFmtId="3" fontId="13" fillId="0" borderId="0" xfId="106" applyNumberFormat="1" applyFont="1" applyAlignment="1">
      <alignment vertical="center"/>
      <protection/>
    </xf>
    <xf numFmtId="0" fontId="13" fillId="0" borderId="0" xfId="106" applyFont="1" applyAlignment="1">
      <alignment vertical="center"/>
      <protection/>
    </xf>
    <xf numFmtId="0" fontId="0" fillId="0" borderId="23" xfId="106" applyFont="1" applyBorder="1" applyAlignment="1">
      <alignment horizontal="center" vertical="center"/>
      <protection/>
    </xf>
    <xf numFmtId="169" fontId="45" fillId="0" borderId="44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51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99" xfId="0" applyNumberFormat="1" applyFont="1" applyBorder="1" applyAlignment="1">
      <alignment horizontal="right" vertical="center" wrapText="1" indent="1"/>
    </xf>
    <xf numFmtId="169" fontId="45" fillId="0" borderId="98" xfId="0" applyNumberFormat="1" applyFont="1" applyBorder="1" applyAlignment="1" applyProtection="1">
      <alignment horizontal="right" vertical="center" wrapText="1" indent="1"/>
      <protection locked="0"/>
    </xf>
    <xf numFmtId="3" fontId="0" fillId="0" borderId="0" xfId="97" applyNumberFormat="1">
      <alignment/>
      <protection/>
    </xf>
    <xf numFmtId="0" fontId="0" fillId="0" borderId="0" xfId="97">
      <alignment/>
      <protection/>
    </xf>
    <xf numFmtId="0" fontId="0" fillId="0" borderId="24" xfId="97" applyBorder="1" applyAlignment="1">
      <alignment wrapText="1"/>
      <protection/>
    </xf>
    <xf numFmtId="0" fontId="0" fillId="0" borderId="24" xfId="97" applyBorder="1">
      <alignment/>
      <protection/>
    </xf>
    <xf numFmtId="3" fontId="0" fillId="0" borderId="42" xfId="97" applyNumberFormat="1" applyBorder="1">
      <alignment/>
      <protection/>
    </xf>
    <xf numFmtId="3" fontId="0" fillId="0" borderId="28" xfId="97" applyNumberFormat="1" applyBorder="1">
      <alignment/>
      <protection/>
    </xf>
    <xf numFmtId="3" fontId="0" fillId="0" borderId="20" xfId="97" applyNumberFormat="1" applyBorder="1">
      <alignment/>
      <protection/>
    </xf>
    <xf numFmtId="0" fontId="0" fillId="0" borderId="20" xfId="97" applyBorder="1">
      <alignment/>
      <protection/>
    </xf>
    <xf numFmtId="3" fontId="0" fillId="0" borderId="30" xfId="97" applyNumberFormat="1" applyBorder="1" applyAlignment="1">
      <alignment horizontal="right" vertical="center"/>
      <protection/>
    </xf>
    <xf numFmtId="3" fontId="0" fillId="0" borderId="28" xfId="97" applyNumberFormat="1" applyBorder="1" applyAlignment="1">
      <alignment horizontal="right" vertical="center"/>
      <protection/>
    </xf>
    <xf numFmtId="3" fontId="0" fillId="0" borderId="42" xfId="97" applyNumberFormat="1" applyBorder="1" applyAlignment="1">
      <alignment horizontal="right" vertical="center"/>
      <protection/>
    </xf>
    <xf numFmtId="0" fontId="0" fillId="0" borderId="20" xfId="97" applyBorder="1" applyAlignment="1">
      <alignment vertical="center" wrapText="1"/>
      <protection/>
    </xf>
    <xf numFmtId="0" fontId="0" fillId="0" borderId="0" xfId="97" applyAlignment="1">
      <alignment vertical="center" wrapText="1"/>
      <protection/>
    </xf>
    <xf numFmtId="169" fontId="45" fillId="0" borderId="91" xfId="0" applyNumberFormat="1" applyFont="1" applyBorder="1" applyAlignment="1">
      <alignment horizontal="right" vertical="center" wrapText="1" indent="1"/>
    </xf>
    <xf numFmtId="3" fontId="2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45" xfId="0" applyNumberFormat="1" applyFont="1" applyFill="1" applyBorder="1" applyAlignment="1">
      <alignment horizontal="right" vertical="center" wrapText="1" indent="1"/>
    </xf>
    <xf numFmtId="3" fontId="28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9" xfId="0" applyNumberFormat="1" applyFont="1" applyFill="1" applyBorder="1" applyAlignment="1">
      <alignment vertical="center"/>
    </xf>
    <xf numFmtId="0" fontId="0" fillId="0" borderId="28" xfId="97" applyBorder="1" applyAlignment="1">
      <alignment horizontal="center"/>
      <protection/>
    </xf>
    <xf numFmtId="0" fontId="0" fillId="0" borderId="42" xfId="97" applyBorder="1" applyAlignment="1">
      <alignment horizontal="center"/>
      <protection/>
    </xf>
    <xf numFmtId="0" fontId="137" fillId="0" borderId="24" xfId="97" applyFont="1" applyFill="1" applyBorder="1" applyAlignment="1">
      <alignment vertical="center" wrapText="1"/>
      <protection/>
    </xf>
    <xf numFmtId="0" fontId="137" fillId="0" borderId="20" xfId="97" applyFont="1" applyFill="1" applyBorder="1" applyAlignment="1">
      <alignment vertical="center" wrapText="1"/>
      <protection/>
    </xf>
    <xf numFmtId="0" fontId="137" fillId="0" borderId="30" xfId="97" applyFont="1" applyFill="1" applyBorder="1">
      <alignment/>
      <protection/>
    </xf>
    <xf numFmtId="3" fontId="137" fillId="0" borderId="30" xfId="97" applyNumberFormat="1" applyFont="1" applyFill="1" applyBorder="1">
      <alignment/>
      <protection/>
    </xf>
    <xf numFmtId="0" fontId="137" fillId="0" borderId="30" xfId="97" applyFont="1" applyFill="1" applyBorder="1" applyAlignment="1">
      <alignment wrapText="1"/>
      <protection/>
    </xf>
    <xf numFmtId="0" fontId="138" fillId="0" borderId="22" xfId="97" applyFont="1" applyFill="1" applyBorder="1" applyAlignment="1">
      <alignment horizontal="center" vertical="center"/>
      <protection/>
    </xf>
    <xf numFmtId="3" fontId="137" fillId="0" borderId="28" xfId="97" applyNumberFormat="1" applyFont="1" applyFill="1" applyBorder="1">
      <alignment/>
      <protection/>
    </xf>
    <xf numFmtId="0" fontId="137" fillId="0" borderId="28" xfId="97" applyFont="1" applyFill="1" applyBorder="1">
      <alignment/>
      <protection/>
    </xf>
    <xf numFmtId="3" fontId="137" fillId="0" borderId="20" xfId="97" applyNumberFormat="1" applyFont="1" applyFill="1" applyBorder="1">
      <alignment/>
      <protection/>
    </xf>
    <xf numFmtId="0" fontId="137" fillId="0" borderId="20" xfId="97" applyFont="1" applyFill="1" applyBorder="1">
      <alignment/>
      <protection/>
    </xf>
    <xf numFmtId="0" fontId="66" fillId="0" borderId="65" xfId="105" applyFont="1" applyBorder="1" applyAlignment="1">
      <alignment wrapText="1"/>
      <protection/>
    </xf>
    <xf numFmtId="3" fontId="66" fillId="0" borderId="53" xfId="105" applyNumberFormat="1" applyFont="1" applyBorder="1" applyAlignment="1">
      <alignment horizontal="right"/>
      <protection/>
    </xf>
    <xf numFmtId="3" fontId="15" fillId="0" borderId="22" xfId="0" applyNumberFormat="1" applyFont="1" applyFill="1" applyBorder="1" applyAlignment="1">
      <alignment horizontal="right" vertical="center"/>
    </xf>
    <xf numFmtId="3" fontId="15" fillId="0" borderId="26" xfId="0" applyNumberFormat="1" applyFont="1" applyFill="1" applyBorder="1" applyAlignment="1">
      <alignment horizontal="right" vertical="center"/>
    </xf>
    <xf numFmtId="3" fontId="15" fillId="0" borderId="19" xfId="106" applyNumberFormat="1" applyFont="1" applyFill="1" applyBorder="1" applyAlignment="1">
      <alignment horizontal="right" vertical="center"/>
      <protection/>
    </xf>
    <xf numFmtId="3" fontId="15" fillId="0" borderId="19" xfId="0" applyNumberFormat="1" applyFont="1" applyFill="1" applyBorder="1" applyAlignment="1">
      <alignment horizontal="right" vertical="center"/>
    </xf>
    <xf numFmtId="0" fontId="12" fillId="0" borderId="0" xfId="106" applyFont="1" applyFill="1" applyAlignment="1">
      <alignment horizontal="center" vertical="center"/>
      <protection/>
    </xf>
    <xf numFmtId="0" fontId="11" fillId="0" borderId="0" xfId="106" applyFont="1" applyFill="1" applyAlignment="1">
      <alignment vertical="center"/>
      <protection/>
    </xf>
    <xf numFmtId="0" fontId="11" fillId="0" borderId="55" xfId="106" applyFont="1" applyFill="1" applyBorder="1" applyAlignment="1">
      <alignment vertical="center"/>
      <protection/>
    </xf>
    <xf numFmtId="3" fontId="12" fillId="0" borderId="0" xfId="106" applyNumberFormat="1" applyFont="1" applyFill="1" applyAlignment="1">
      <alignment horizontal="center" vertical="center"/>
      <protection/>
    </xf>
    <xf numFmtId="3" fontId="12" fillId="0" borderId="0" xfId="106" applyNumberFormat="1" applyFont="1" applyFill="1" applyAlignment="1">
      <alignment horizontal="center" vertical="center"/>
      <protection/>
    </xf>
    <xf numFmtId="0" fontId="16" fillId="0" borderId="44" xfId="106" applyFont="1" applyFill="1" applyBorder="1" applyAlignment="1">
      <alignment horizontal="center" vertical="center"/>
      <protection/>
    </xf>
    <xf numFmtId="0" fontId="16" fillId="0" borderId="27" xfId="106" applyFont="1" applyFill="1" applyBorder="1" applyAlignment="1">
      <alignment horizontal="center" vertical="center"/>
      <protection/>
    </xf>
    <xf numFmtId="0" fontId="16" fillId="0" borderId="63" xfId="106" applyFont="1" applyFill="1" applyBorder="1" applyAlignment="1">
      <alignment horizontal="center" vertical="center"/>
      <protection/>
    </xf>
    <xf numFmtId="3" fontId="16" fillId="0" borderId="39" xfId="106" applyNumberFormat="1" applyFont="1" applyFill="1" applyBorder="1" applyAlignment="1">
      <alignment horizontal="center" vertical="center"/>
      <protection/>
    </xf>
    <xf numFmtId="0" fontId="13" fillId="0" borderId="0" xfId="106" applyFont="1" applyFill="1" applyAlignment="1">
      <alignment vertical="center"/>
      <protection/>
    </xf>
    <xf numFmtId="0" fontId="16" fillId="0" borderId="46" xfId="106" applyFont="1" applyFill="1" applyBorder="1" applyAlignment="1">
      <alignment horizontal="center" vertical="center"/>
      <protection/>
    </xf>
    <xf numFmtId="0" fontId="16" fillId="0" borderId="30" xfId="106" applyFont="1" applyFill="1" applyBorder="1" applyAlignment="1">
      <alignment horizontal="center" vertical="center"/>
      <protection/>
    </xf>
    <xf numFmtId="0" fontId="16" fillId="0" borderId="96" xfId="106" applyFont="1" applyFill="1" applyBorder="1" applyAlignment="1">
      <alignment horizontal="center" vertical="center"/>
      <protection/>
    </xf>
    <xf numFmtId="3" fontId="16" fillId="0" borderId="50" xfId="106" applyNumberFormat="1" applyFont="1" applyFill="1" applyBorder="1" applyAlignment="1">
      <alignment horizontal="center" vertical="center"/>
      <protection/>
    </xf>
    <xf numFmtId="3" fontId="16" fillId="0" borderId="43" xfId="106" applyNumberFormat="1" applyFont="1" applyFill="1" applyBorder="1" applyAlignment="1">
      <alignment horizontal="center" vertical="center" wrapText="1"/>
      <protection/>
    </xf>
    <xf numFmtId="3" fontId="16" fillId="0" borderId="43" xfId="106" applyNumberFormat="1" applyFont="1" applyFill="1" applyBorder="1" applyAlignment="1">
      <alignment horizontal="center" vertical="center"/>
      <protection/>
    </xf>
    <xf numFmtId="3" fontId="16" fillId="0" borderId="43" xfId="106" applyNumberFormat="1" applyFont="1" applyFill="1" applyBorder="1" applyAlignment="1">
      <alignment horizontal="center" vertical="center"/>
      <protection/>
    </xf>
    <xf numFmtId="3" fontId="16" fillId="0" borderId="57" xfId="106" applyNumberFormat="1" applyFont="1" applyFill="1" applyBorder="1" applyAlignment="1">
      <alignment horizontal="center" vertical="center"/>
      <protection/>
    </xf>
    <xf numFmtId="3" fontId="16" fillId="0" borderId="69" xfId="106" applyNumberFormat="1" applyFont="1" applyFill="1" applyBorder="1" applyAlignment="1">
      <alignment horizontal="center" vertical="center"/>
      <protection/>
    </xf>
    <xf numFmtId="0" fontId="11" fillId="0" borderId="19" xfId="106" applyFont="1" applyFill="1" applyBorder="1" applyAlignment="1">
      <alignment horizontal="center" vertical="center"/>
      <protection/>
    </xf>
    <xf numFmtId="0" fontId="19" fillId="0" borderId="24" xfId="0" applyFont="1" applyFill="1" applyBorder="1" applyAlignment="1">
      <alignment/>
    </xf>
    <xf numFmtId="0" fontId="14" fillId="0" borderId="67" xfId="0" applyFont="1" applyFill="1" applyBorder="1" applyAlignment="1">
      <alignment horizontal="center" vertical="center"/>
    </xf>
    <xf numFmtId="3" fontId="15" fillId="0" borderId="19" xfId="106" applyNumberFormat="1" applyFont="1" applyFill="1" applyBorder="1" applyAlignment="1">
      <alignment vertical="center"/>
      <protection/>
    </xf>
    <xf numFmtId="3" fontId="15" fillId="0" borderId="19" xfId="106" applyNumberFormat="1" applyFont="1" applyFill="1" applyBorder="1" applyAlignment="1">
      <alignment horizontal="right" vertical="center"/>
      <protection/>
    </xf>
    <xf numFmtId="3" fontId="15" fillId="0" borderId="24" xfId="106" applyNumberFormat="1" applyFont="1" applyFill="1" applyBorder="1" applyAlignment="1">
      <alignment vertical="center"/>
      <protection/>
    </xf>
    <xf numFmtId="10" fontId="15" fillId="0" borderId="25" xfId="106" applyNumberFormat="1" applyFont="1" applyFill="1" applyBorder="1" applyAlignment="1">
      <alignment vertical="center"/>
      <protection/>
    </xf>
    <xf numFmtId="3" fontId="15" fillId="0" borderId="24" xfId="0" applyNumberFormat="1" applyFont="1" applyFill="1" applyBorder="1" applyAlignment="1">
      <alignment vertical="center"/>
    </xf>
    <xf numFmtId="0" fontId="14" fillId="0" borderId="67" xfId="106" applyFont="1" applyFill="1" applyBorder="1" applyAlignment="1">
      <alignment horizontal="center" vertical="center"/>
      <protection/>
    </xf>
    <xf numFmtId="3" fontId="15" fillId="0" borderId="24" xfId="106" applyNumberFormat="1" applyFont="1" applyFill="1" applyBorder="1" applyAlignment="1">
      <alignment vertical="center"/>
      <protection/>
    </xf>
    <xf numFmtId="0" fontId="32" fillId="0" borderId="24" xfId="106" applyFont="1" applyFill="1" applyBorder="1" applyAlignment="1">
      <alignment vertical="center" wrapText="1"/>
      <protection/>
    </xf>
    <xf numFmtId="3" fontId="15" fillId="0" borderId="19" xfId="106" applyNumberFormat="1" applyFont="1" applyFill="1" applyBorder="1" applyAlignment="1">
      <alignment vertical="center"/>
      <protection/>
    </xf>
    <xf numFmtId="0" fontId="14" fillId="0" borderId="64" xfId="0" applyFont="1" applyFill="1" applyBorder="1" applyAlignment="1">
      <alignment horizontal="center" vertical="center"/>
    </xf>
    <xf numFmtId="3" fontId="15" fillId="0" borderId="91" xfId="106" applyNumberFormat="1" applyFont="1" applyFill="1" applyBorder="1" applyAlignment="1">
      <alignment horizontal="right" vertical="center"/>
      <protection/>
    </xf>
    <xf numFmtId="0" fontId="14" fillId="0" borderId="60" xfId="0" applyFont="1" applyFill="1" applyBorder="1" applyAlignment="1">
      <alignment vertical="center" wrapText="1"/>
    </xf>
    <xf numFmtId="3" fontId="15" fillId="0" borderId="91" xfId="106" applyNumberFormat="1" applyFont="1" applyFill="1" applyBorder="1" applyAlignment="1">
      <alignment horizontal="right" vertical="center"/>
      <protection/>
    </xf>
    <xf numFmtId="3" fontId="15" fillId="0" borderId="28" xfId="106" applyNumberFormat="1" applyFont="1" applyFill="1" applyBorder="1" applyAlignment="1">
      <alignment horizontal="right" vertical="center"/>
      <protection/>
    </xf>
    <xf numFmtId="0" fontId="32" fillId="0" borderId="24" xfId="106" applyFont="1" applyFill="1" applyBorder="1" applyAlignment="1">
      <alignment vertical="center"/>
      <protection/>
    </xf>
    <xf numFmtId="3" fontId="15" fillId="0" borderId="24" xfId="106" applyNumberFormat="1" applyFont="1" applyFill="1" applyBorder="1" applyAlignment="1">
      <alignment horizontal="right" vertical="center"/>
      <protection/>
    </xf>
    <xf numFmtId="3" fontId="15" fillId="0" borderId="20" xfId="106" applyNumberFormat="1" applyFont="1" applyFill="1" applyBorder="1" applyAlignment="1">
      <alignment vertical="center"/>
      <protection/>
    </xf>
    <xf numFmtId="3" fontId="12" fillId="0" borderId="44" xfId="106" applyNumberFormat="1" applyFont="1" applyFill="1" applyBorder="1" applyAlignment="1">
      <alignment horizontal="right" vertical="center"/>
      <protection/>
    </xf>
    <xf numFmtId="3" fontId="12" fillId="0" borderId="44" xfId="106" applyNumberFormat="1" applyFont="1" applyFill="1" applyBorder="1" applyAlignment="1">
      <alignment horizontal="right" vertical="center"/>
      <protection/>
    </xf>
    <xf numFmtId="3" fontId="12" fillId="0" borderId="27" xfId="106" applyNumberFormat="1" applyFont="1" applyFill="1" applyBorder="1" applyAlignment="1">
      <alignment horizontal="right" vertical="center"/>
      <protection/>
    </xf>
    <xf numFmtId="3" fontId="12" fillId="0" borderId="51" xfId="106" applyNumberFormat="1" applyFont="1" applyFill="1" applyBorder="1" applyAlignment="1">
      <alignment horizontal="right" vertical="center"/>
      <protection/>
    </xf>
    <xf numFmtId="10" fontId="12" fillId="0" borderId="45" xfId="106" applyNumberFormat="1" applyFont="1" applyFill="1" applyBorder="1" applyAlignment="1">
      <alignment horizontal="right" vertical="center"/>
      <protection/>
    </xf>
    <xf numFmtId="3" fontId="11" fillId="0" borderId="0" xfId="106" applyNumberFormat="1" applyFont="1" applyFill="1" applyAlignment="1">
      <alignment vertical="center"/>
      <protection/>
    </xf>
    <xf numFmtId="0" fontId="16" fillId="0" borderId="0" xfId="106" applyFont="1" applyFill="1" applyAlignment="1">
      <alignment horizontal="center" vertical="center"/>
      <protection/>
    </xf>
    <xf numFmtId="3" fontId="12" fillId="0" borderId="0" xfId="106" applyNumberFormat="1" applyFont="1" applyFill="1" applyAlignment="1">
      <alignment horizontal="right" vertical="center"/>
      <protection/>
    </xf>
    <xf numFmtId="3" fontId="12" fillId="0" borderId="0" xfId="106" applyNumberFormat="1" applyFont="1" applyFill="1" applyAlignment="1">
      <alignment horizontal="right" vertical="center"/>
      <protection/>
    </xf>
    <xf numFmtId="0" fontId="11" fillId="0" borderId="0" xfId="106" applyFont="1" applyFill="1" applyAlignment="1">
      <alignment vertical="center"/>
      <protection/>
    </xf>
    <xf numFmtId="0" fontId="11" fillId="0" borderId="0" xfId="106" applyFont="1" applyFill="1" applyAlignment="1">
      <alignment horizontal="center" vertical="center"/>
      <protection/>
    </xf>
    <xf numFmtId="0" fontId="16" fillId="0" borderId="50" xfId="106" applyFont="1" applyFill="1" applyBorder="1" applyAlignment="1">
      <alignment horizontal="center" vertical="center"/>
      <protection/>
    </xf>
    <xf numFmtId="0" fontId="16" fillId="0" borderId="43" xfId="106" applyFont="1" applyFill="1" applyBorder="1" applyAlignment="1">
      <alignment horizontal="center" vertical="center"/>
      <protection/>
    </xf>
    <xf numFmtId="0" fontId="16" fillId="0" borderId="69" xfId="106" applyFont="1" applyFill="1" applyBorder="1" applyAlignment="1">
      <alignment horizontal="center" vertical="center"/>
      <protection/>
    </xf>
    <xf numFmtId="3" fontId="16" fillId="0" borderId="58" xfId="106" applyNumberFormat="1" applyFont="1" applyFill="1" applyBorder="1" applyAlignment="1">
      <alignment horizontal="center" vertical="center"/>
      <protection/>
    </xf>
    <xf numFmtId="0" fontId="11" fillId="0" borderId="22" xfId="106" applyFont="1" applyFill="1" applyBorder="1" applyAlignment="1">
      <alignment horizontal="center" vertical="center"/>
      <protection/>
    </xf>
    <xf numFmtId="3" fontId="15" fillId="0" borderId="98" xfId="0" applyNumberFormat="1" applyFont="1" applyFill="1" applyBorder="1" applyAlignment="1">
      <alignment horizontal="right" vertical="center"/>
    </xf>
    <xf numFmtId="3" fontId="15" fillId="0" borderId="80" xfId="0" applyNumberFormat="1" applyFont="1" applyFill="1" applyBorder="1" applyAlignment="1">
      <alignment horizontal="right" vertical="center"/>
    </xf>
    <xf numFmtId="3" fontId="15" fillId="0" borderId="22" xfId="106" applyNumberFormat="1" applyFont="1" applyFill="1" applyBorder="1" applyAlignment="1">
      <alignment vertical="center"/>
      <protection/>
    </xf>
    <xf numFmtId="3" fontId="15" fillId="0" borderId="30" xfId="106" applyNumberFormat="1" applyFont="1" applyFill="1" applyBorder="1" applyAlignment="1">
      <alignment vertical="center"/>
      <protection/>
    </xf>
    <xf numFmtId="3" fontId="15" fillId="0" borderId="78" xfId="0" applyNumberFormat="1" applyFont="1" applyFill="1" applyBorder="1" applyAlignment="1">
      <alignment horizontal="right" vertical="center"/>
    </xf>
    <xf numFmtId="3" fontId="15" fillId="0" borderId="19" xfId="0" applyNumberFormat="1" applyFont="1" applyFill="1" applyBorder="1" applyAlignment="1">
      <alignment vertical="center"/>
    </xf>
    <xf numFmtId="0" fontId="14" fillId="0" borderId="67" xfId="106" applyFont="1" applyFill="1" applyBorder="1" applyAlignment="1">
      <alignment horizontal="center" vertical="center"/>
      <protection/>
    </xf>
    <xf numFmtId="3" fontId="15" fillId="0" borderId="24" xfId="0" applyNumberFormat="1" applyFont="1" applyFill="1" applyBorder="1" applyAlignment="1">
      <alignment horizontal="right" vertical="center"/>
    </xf>
    <xf numFmtId="0" fontId="32" fillId="0" borderId="60" xfId="106" applyFont="1" applyFill="1" applyBorder="1" applyAlignment="1">
      <alignment vertical="center" wrapText="1"/>
      <protection/>
    </xf>
    <xf numFmtId="0" fontId="14" fillId="0" borderId="64" xfId="106" applyFont="1" applyFill="1" applyBorder="1" applyAlignment="1">
      <alignment horizontal="center" vertical="center"/>
      <protection/>
    </xf>
    <xf numFmtId="3" fontId="15" fillId="0" borderId="33" xfId="0" applyNumberFormat="1" applyFont="1" applyFill="1" applyBorder="1" applyAlignment="1">
      <alignment horizontal="right" vertical="center"/>
    </xf>
    <xf numFmtId="3" fontId="15" fillId="0" borderId="35" xfId="0" applyNumberFormat="1" applyFont="1" applyFill="1" applyBorder="1" applyAlignment="1">
      <alignment horizontal="right" vertical="center"/>
    </xf>
    <xf numFmtId="0" fontId="11" fillId="0" borderId="26" xfId="106" applyFont="1" applyFill="1" applyBorder="1" applyAlignment="1">
      <alignment horizontal="center" vertical="center"/>
      <protection/>
    </xf>
    <xf numFmtId="0" fontId="14" fillId="0" borderId="60" xfId="0" applyFont="1" applyFill="1" applyBorder="1" applyAlignment="1">
      <alignment vertical="center"/>
    </xf>
    <xf numFmtId="0" fontId="11" fillId="0" borderId="0" xfId="106" applyFont="1">
      <alignment/>
      <protection/>
    </xf>
    <xf numFmtId="0" fontId="11" fillId="0" borderId="0" xfId="106" applyFont="1" applyAlignment="1">
      <alignment horizontal="left" wrapText="1"/>
      <protection/>
    </xf>
    <xf numFmtId="0" fontId="11" fillId="0" borderId="0" xfId="106" applyFont="1" applyAlignment="1">
      <alignment wrapText="1"/>
      <protection/>
    </xf>
    <xf numFmtId="0" fontId="11" fillId="0" borderId="55" xfId="106" applyFont="1" applyBorder="1">
      <alignment/>
      <protection/>
    </xf>
    <xf numFmtId="3" fontId="11" fillId="0" borderId="0" xfId="106" applyNumberFormat="1" applyFont="1">
      <alignment/>
      <protection/>
    </xf>
    <xf numFmtId="0" fontId="2" fillId="0" borderId="67" xfId="106" applyFont="1" applyBorder="1" applyAlignment="1">
      <alignment horizontal="center" vertical="center"/>
      <protection/>
    </xf>
    <xf numFmtId="0" fontId="0" fillId="0" borderId="67" xfId="106" applyFont="1" applyBorder="1" applyAlignment="1">
      <alignment horizontal="center" vertical="center"/>
      <protection/>
    </xf>
    <xf numFmtId="3" fontId="41" fillId="0" borderId="24" xfId="106" applyNumberFormat="1" applyFont="1" applyFill="1" applyBorder="1" applyAlignment="1">
      <alignment horizontal="right"/>
      <protection/>
    </xf>
    <xf numFmtId="10" fontId="41" fillId="0" borderId="67" xfId="106" applyNumberFormat="1" applyFont="1" applyFill="1" applyBorder="1" applyAlignment="1">
      <alignment horizontal="right"/>
      <protection/>
    </xf>
    <xf numFmtId="3" fontId="41" fillId="0" borderId="19" xfId="106" applyNumberFormat="1" applyFont="1" applyFill="1" applyBorder="1" applyAlignment="1">
      <alignment horizontal="right"/>
      <protection/>
    </xf>
    <xf numFmtId="0" fontId="138" fillId="51" borderId="22" xfId="97" applyFont="1" applyFill="1" applyBorder="1" applyAlignment="1">
      <alignment horizontal="center" vertical="center"/>
      <protection/>
    </xf>
    <xf numFmtId="0" fontId="137" fillId="51" borderId="30" xfId="97" applyFont="1" applyFill="1" applyBorder="1" applyAlignment="1">
      <alignment wrapText="1"/>
      <protection/>
    </xf>
    <xf numFmtId="3" fontId="137" fillId="51" borderId="30" xfId="97" applyNumberFormat="1" applyFont="1" applyFill="1" applyBorder="1">
      <alignment/>
      <protection/>
    </xf>
    <xf numFmtId="0" fontId="137" fillId="51" borderId="30" xfId="97" applyFont="1" applyFill="1" applyBorder="1">
      <alignment/>
      <protection/>
    </xf>
    <xf numFmtId="3" fontId="137" fillId="51" borderId="47" xfId="97" applyNumberFormat="1" applyFont="1" applyFill="1" applyBorder="1">
      <alignment/>
      <protection/>
    </xf>
    <xf numFmtId="0" fontId="0" fillId="51" borderId="0" xfId="97" applyFill="1">
      <alignment/>
      <protection/>
    </xf>
    <xf numFmtId="0" fontId="137" fillId="51" borderId="24" xfId="97" applyFont="1" applyFill="1" applyBorder="1" applyAlignment="1">
      <alignment vertical="center" wrapText="1"/>
      <protection/>
    </xf>
    <xf numFmtId="3" fontId="137" fillId="51" borderId="28" xfId="97" applyNumberFormat="1" applyFont="1" applyFill="1" applyBorder="1">
      <alignment/>
      <protection/>
    </xf>
    <xf numFmtId="0" fontId="137" fillId="51" borderId="28" xfId="97" applyFont="1" applyFill="1" applyBorder="1">
      <alignment/>
      <protection/>
    </xf>
    <xf numFmtId="0" fontId="137" fillId="51" borderId="61" xfId="97" applyFont="1" applyFill="1" applyBorder="1">
      <alignment/>
      <protection/>
    </xf>
    <xf numFmtId="0" fontId="137" fillId="51" borderId="20" xfId="97" applyFont="1" applyFill="1" applyBorder="1" applyAlignment="1">
      <alignment vertical="center" wrapText="1"/>
      <protection/>
    </xf>
    <xf numFmtId="3" fontId="137" fillId="51" borderId="20" xfId="97" applyNumberFormat="1" applyFont="1" applyFill="1" applyBorder="1">
      <alignment/>
      <protection/>
    </xf>
    <xf numFmtId="0" fontId="137" fillId="51" borderId="20" xfId="97" applyFont="1" applyFill="1" applyBorder="1">
      <alignment/>
      <protection/>
    </xf>
    <xf numFmtId="3" fontId="137" fillId="51" borderId="21" xfId="97" applyNumberFormat="1" applyFont="1" applyFill="1" applyBorder="1">
      <alignment/>
      <protection/>
    </xf>
    <xf numFmtId="3" fontId="46" fillId="0" borderId="0" xfId="110" applyNumberFormat="1" applyFont="1" applyAlignment="1">
      <alignment horizontal="center" wrapText="1"/>
      <protection/>
    </xf>
    <xf numFmtId="3" fontId="46" fillId="0" borderId="0" xfId="110" applyNumberFormat="1" applyFont="1" applyAlignment="1">
      <alignment horizontal="center"/>
      <protection/>
    </xf>
    <xf numFmtId="3" fontId="60" fillId="0" borderId="63" xfId="110" applyNumberFormat="1" applyFont="1" applyBorder="1" applyAlignment="1">
      <alignment horizontal="left" vertical="center" indent="1"/>
      <protection/>
    </xf>
    <xf numFmtId="3" fontId="60" fillId="0" borderId="39" xfId="110" applyNumberFormat="1" applyFont="1" applyBorder="1" applyAlignment="1">
      <alignment horizontal="left" vertical="center" indent="1"/>
      <protection/>
    </xf>
    <xf numFmtId="3" fontId="60" fillId="0" borderId="52" xfId="110" applyNumberFormat="1" applyFont="1" applyBorder="1" applyAlignment="1">
      <alignment horizontal="left" vertical="center" indent="1"/>
      <protection/>
    </xf>
    <xf numFmtId="3" fontId="85" fillId="0" borderId="0" xfId="110" applyNumberFormat="1" applyFont="1" applyAlignment="1" applyProtection="1">
      <alignment horizontal="right"/>
      <protection locked="0"/>
    </xf>
    <xf numFmtId="0" fontId="7" fillId="0" borderId="34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wrapText="1"/>
    </xf>
    <xf numFmtId="0" fontId="7" fillId="0" borderId="100" xfId="0" applyFont="1" applyBorder="1" applyAlignment="1">
      <alignment horizontal="left" wrapText="1"/>
    </xf>
    <xf numFmtId="0" fontId="7" fillId="0" borderId="71" xfId="0" applyFont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 wrapText="1"/>
    </xf>
    <xf numFmtId="0" fontId="7" fillId="0" borderId="95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7" fillId="0" borderId="54" xfId="0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wrapText="1"/>
    </xf>
    <xf numFmtId="0" fontId="7" fillId="0" borderId="34" xfId="0" applyFont="1" applyBorder="1" applyAlignment="1">
      <alignment wrapText="1"/>
    </xf>
    <xf numFmtId="0" fontId="7" fillId="0" borderId="71" xfId="0" applyFont="1" applyBorder="1" applyAlignment="1">
      <alignment wrapText="1"/>
    </xf>
    <xf numFmtId="0" fontId="7" fillId="0" borderId="68" xfId="0" applyFont="1" applyBorder="1" applyAlignment="1">
      <alignment horizontal="left" wrapText="1"/>
    </xf>
    <xf numFmtId="0" fontId="7" fillId="0" borderId="95" xfId="0" applyFont="1" applyBorder="1" applyAlignment="1">
      <alignment horizontal="left" wrapText="1"/>
    </xf>
    <xf numFmtId="49" fontId="40" fillId="0" borderId="0" xfId="0" applyNumberFormat="1" applyFont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49" fontId="3" fillId="0" borderId="39" xfId="0" applyNumberFormat="1" applyFont="1" applyBorder="1" applyAlignment="1">
      <alignment horizontal="left" vertical="center"/>
    </xf>
    <xf numFmtId="0" fontId="29" fillId="0" borderId="73" xfId="109" applyFont="1" applyBorder="1" applyAlignment="1">
      <alignment horizontal="left" vertical="center" wrapText="1"/>
      <protection/>
    </xf>
    <xf numFmtId="0" fontId="29" fillId="0" borderId="54" xfId="109" applyFont="1" applyBorder="1" applyAlignment="1">
      <alignment horizontal="left" vertical="center" wrapText="1"/>
      <protection/>
    </xf>
    <xf numFmtId="0" fontId="29" fillId="0" borderId="92" xfId="109" applyFont="1" applyBorder="1" applyAlignment="1">
      <alignment horizontal="left" vertical="center" wrapText="1"/>
      <protection/>
    </xf>
    <xf numFmtId="49" fontId="7" fillId="0" borderId="64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left" vertical="center"/>
    </xf>
    <xf numFmtId="49" fontId="3" fillId="0" borderId="69" xfId="0" applyNumberFormat="1" applyFont="1" applyBorder="1" applyAlignment="1">
      <alignment horizontal="center" vertical="center"/>
    </xf>
    <xf numFmtId="169" fontId="60" fillId="0" borderId="55" xfId="109" applyNumberFormat="1" applyFont="1" applyBorder="1" applyAlignment="1">
      <alignment horizontal="left" vertical="center"/>
      <protection/>
    </xf>
    <xf numFmtId="0" fontId="46" fillId="0" borderId="0" xfId="109" applyFont="1" applyAlignment="1">
      <alignment horizontal="center"/>
      <protection/>
    </xf>
    <xf numFmtId="0" fontId="65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/>
    </xf>
    <xf numFmtId="0" fontId="43" fillId="0" borderId="20" xfId="109" applyFont="1" applyBorder="1" applyAlignment="1">
      <alignment horizontal="left"/>
      <protection/>
    </xf>
    <xf numFmtId="0" fontId="29" fillId="0" borderId="67" xfId="109" applyFont="1" applyBorder="1" applyAlignment="1">
      <alignment horizontal="left" vertical="center" wrapText="1"/>
      <protection/>
    </xf>
    <xf numFmtId="0" fontId="29" fillId="0" borderId="34" xfId="109" applyFont="1" applyBorder="1" applyAlignment="1">
      <alignment horizontal="left" vertical="center" wrapText="1"/>
      <protection/>
    </xf>
    <xf numFmtId="0" fontId="29" fillId="0" borderId="91" xfId="109" applyFont="1" applyBorder="1" applyAlignment="1">
      <alignment horizontal="left" vertical="center" wrapText="1"/>
      <protection/>
    </xf>
    <xf numFmtId="0" fontId="29" fillId="0" borderId="75" xfId="109" applyFont="1" applyBorder="1" applyAlignment="1">
      <alignment horizontal="left" vertical="center" wrapText="1"/>
      <protection/>
    </xf>
    <xf numFmtId="0" fontId="29" fillId="0" borderId="68" xfId="109" applyFont="1" applyBorder="1" applyAlignment="1">
      <alignment horizontal="left" vertical="center" wrapText="1"/>
      <protection/>
    </xf>
    <xf numFmtId="0" fontId="29" fillId="0" borderId="94" xfId="109" applyFont="1" applyBorder="1" applyAlignment="1">
      <alignment horizontal="left" vertical="center" wrapText="1"/>
      <protection/>
    </xf>
    <xf numFmtId="0" fontId="27" fillId="0" borderId="30" xfId="109" applyFont="1" applyBorder="1" applyAlignment="1">
      <alignment horizontal="left"/>
      <protection/>
    </xf>
    <xf numFmtId="0" fontId="29" fillId="0" borderId="24" xfId="109" applyFont="1" applyBorder="1" applyAlignment="1">
      <alignment horizontal="left"/>
      <protection/>
    </xf>
    <xf numFmtId="0" fontId="43" fillId="0" borderId="24" xfId="109" applyFont="1" applyBorder="1" applyAlignment="1">
      <alignment horizontal="left"/>
      <protection/>
    </xf>
    <xf numFmtId="0" fontId="46" fillId="0" borderId="0" xfId="109" applyFont="1" applyAlignment="1">
      <alignment horizontal="center" wrapText="1"/>
      <protection/>
    </xf>
    <xf numFmtId="0" fontId="60" fillId="0" borderId="0" xfId="109" applyFont="1" applyAlignment="1">
      <alignment horizontal="left"/>
      <protection/>
    </xf>
    <xf numFmtId="0" fontId="27" fillId="0" borderId="63" xfId="109" applyFont="1" applyBorder="1" applyAlignment="1">
      <alignment horizontal="left" vertical="center" wrapText="1"/>
      <protection/>
    </xf>
    <xf numFmtId="0" fontId="27" fillId="0" borderId="39" xfId="109" applyFont="1" applyBorder="1" applyAlignment="1">
      <alignment horizontal="left" vertical="center" wrapText="1"/>
      <protection/>
    </xf>
    <xf numFmtId="0" fontId="27" fillId="0" borderId="51" xfId="109" applyFont="1" applyBorder="1" applyAlignment="1">
      <alignment horizontal="left" vertical="center" wrapText="1"/>
      <protection/>
    </xf>
    <xf numFmtId="169" fontId="60" fillId="0" borderId="0" xfId="109" applyNumberFormat="1" applyFont="1" applyAlignment="1">
      <alignment horizontal="left" vertical="center"/>
      <protection/>
    </xf>
    <xf numFmtId="0" fontId="29" fillId="0" borderId="74" xfId="109" applyFont="1" applyBorder="1" applyAlignment="1">
      <alignment horizontal="left" vertical="center" wrapText="1"/>
      <protection/>
    </xf>
    <xf numFmtId="0" fontId="29" fillId="0" borderId="55" xfId="109" applyFont="1" applyBorder="1" applyAlignment="1">
      <alignment horizontal="left" vertical="center" wrapText="1"/>
      <protection/>
    </xf>
    <xf numFmtId="0" fontId="29" fillId="0" borderId="93" xfId="109" applyFont="1" applyBorder="1" applyAlignment="1">
      <alignment horizontal="left" vertical="center" wrapText="1"/>
      <protection/>
    </xf>
    <xf numFmtId="0" fontId="21" fillId="0" borderId="0" xfId="106" applyFont="1" applyAlignment="1">
      <alignment horizontal="center" vertical="center"/>
      <protection/>
    </xf>
    <xf numFmtId="0" fontId="22" fillId="0" borderId="55" xfId="106" applyFont="1" applyBorder="1" applyAlignment="1">
      <alignment horizontal="center" vertical="center"/>
      <protection/>
    </xf>
    <xf numFmtId="0" fontId="22" fillId="0" borderId="0" xfId="106" applyFont="1" applyAlignment="1">
      <alignment horizontal="center" vertical="center"/>
      <protection/>
    </xf>
    <xf numFmtId="0" fontId="88" fillId="0" borderId="0" xfId="106" applyFont="1" applyAlignment="1">
      <alignment horizontal="right" vertical="center"/>
      <protection/>
    </xf>
    <xf numFmtId="3" fontId="89" fillId="0" borderId="0" xfId="0" applyNumberFormat="1" applyFont="1" applyAlignment="1">
      <alignment horizontal="right"/>
    </xf>
    <xf numFmtId="3" fontId="90" fillId="0" borderId="0" xfId="0" applyNumberFormat="1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49" fontId="7" fillId="0" borderId="68" xfId="0" applyNumberFormat="1" applyFont="1" applyBorder="1" applyAlignment="1">
      <alignment horizontal="left" vertical="center" wrapText="1"/>
    </xf>
    <xf numFmtId="49" fontId="7" fillId="0" borderId="95" xfId="0" applyNumberFormat="1" applyFont="1" applyBorder="1" applyAlignment="1">
      <alignment horizontal="left" vertical="center" wrapText="1"/>
    </xf>
    <xf numFmtId="169" fontId="85" fillId="0" borderId="0" xfId="0" applyNumberFormat="1" applyFont="1" applyAlignment="1">
      <alignment horizontal="right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63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wrapText="1"/>
    </xf>
    <xf numFmtId="0" fontId="49" fillId="0" borderId="63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4" fillId="0" borderId="32" xfId="107" applyFont="1" applyBorder="1" applyAlignment="1">
      <alignment horizontal="left" vertical="center"/>
      <protection/>
    </xf>
    <xf numFmtId="0" fontId="24" fillId="0" borderId="39" xfId="107" applyFont="1" applyBorder="1" applyAlignment="1">
      <alignment horizontal="left" vertical="center"/>
      <protection/>
    </xf>
    <xf numFmtId="0" fontId="24" fillId="0" borderId="51" xfId="107" applyFont="1" applyBorder="1" applyAlignment="1">
      <alignment horizontal="left" vertical="center"/>
      <protection/>
    </xf>
    <xf numFmtId="1" fontId="35" fillId="0" borderId="32" xfId="107" applyNumberFormat="1" applyFont="1" applyBorder="1" applyAlignment="1">
      <alignment horizontal="center" vertical="center" wrapText="1"/>
      <protection/>
    </xf>
    <xf numFmtId="1" fontId="35" fillId="0" borderId="39" xfId="107" applyNumberFormat="1" applyFont="1" applyBorder="1" applyAlignment="1">
      <alignment horizontal="center" vertical="center" wrapText="1"/>
      <protection/>
    </xf>
    <xf numFmtId="1" fontId="35" fillId="0" borderId="52" xfId="107" applyNumberFormat="1" applyFont="1" applyBorder="1" applyAlignment="1">
      <alignment horizontal="center" vertical="center" wrapText="1"/>
      <protection/>
    </xf>
    <xf numFmtId="0" fontId="24" fillId="0" borderId="73" xfId="107" applyFont="1" applyBorder="1" applyAlignment="1">
      <alignment horizontal="center" vertical="center" wrapText="1"/>
      <protection/>
    </xf>
    <xf numFmtId="0" fontId="0" fillId="0" borderId="54" xfId="0" applyBorder="1" applyAlignment="1">
      <alignment/>
    </xf>
    <xf numFmtId="0" fontId="0" fillId="0" borderId="100" xfId="0" applyBorder="1" applyAlignment="1">
      <alignment/>
    </xf>
    <xf numFmtId="0" fontId="24" fillId="0" borderId="50" xfId="107" applyFont="1" applyBorder="1" applyAlignment="1">
      <alignment horizontal="center" vertical="center" wrapText="1"/>
      <protection/>
    </xf>
    <xf numFmtId="0" fontId="24" fillId="0" borderId="40" xfId="107" applyFont="1" applyBorder="1" applyAlignment="1">
      <alignment horizontal="center" vertical="center" wrapText="1"/>
      <protection/>
    </xf>
    <xf numFmtId="0" fontId="64" fillId="0" borderId="0" xfId="107" applyFont="1" applyAlignment="1">
      <alignment horizontal="right" vertical="center"/>
      <protection/>
    </xf>
    <xf numFmtId="0" fontId="34" fillId="0" borderId="0" xfId="107" applyFont="1" applyAlignment="1">
      <alignment horizontal="center" vertical="center"/>
      <protection/>
    </xf>
    <xf numFmtId="16" fontId="34" fillId="0" borderId="0" xfId="107" applyNumberFormat="1" applyFont="1" applyAlignment="1">
      <alignment horizontal="center" vertical="center" wrapText="1"/>
      <protection/>
    </xf>
    <xf numFmtId="0" fontId="24" fillId="0" borderId="80" xfId="107" applyFont="1" applyBorder="1" applyAlignment="1">
      <alignment horizontal="center" vertical="center" wrapText="1"/>
      <protection/>
    </xf>
    <xf numFmtId="3" fontId="16" fillId="0" borderId="44" xfId="106" applyNumberFormat="1" applyFont="1" applyFill="1" applyBorder="1" applyAlignment="1">
      <alignment horizontal="center" vertical="center"/>
      <protection/>
    </xf>
    <xf numFmtId="3" fontId="16" fillId="0" borderId="27" xfId="106" applyNumberFormat="1" applyFont="1" applyFill="1" applyBorder="1" applyAlignment="1">
      <alignment horizontal="center" vertical="center"/>
      <protection/>
    </xf>
    <xf numFmtId="3" fontId="16" fillId="0" borderId="45" xfId="106" applyNumberFormat="1" applyFont="1" applyFill="1" applyBorder="1" applyAlignment="1">
      <alignment horizontal="center" vertical="center"/>
      <protection/>
    </xf>
    <xf numFmtId="0" fontId="16" fillId="0" borderId="44" xfId="106" applyFont="1" applyFill="1" applyBorder="1" applyAlignment="1">
      <alignment horizontal="center" vertical="center"/>
      <protection/>
    </xf>
    <xf numFmtId="0" fontId="16" fillId="0" borderId="27" xfId="106" applyFont="1" applyFill="1" applyBorder="1" applyAlignment="1">
      <alignment horizontal="center" vertical="center"/>
      <protection/>
    </xf>
    <xf numFmtId="0" fontId="16" fillId="0" borderId="45" xfId="106" applyFont="1" applyFill="1" applyBorder="1" applyAlignment="1">
      <alignment horizontal="center" vertical="center"/>
      <protection/>
    </xf>
    <xf numFmtId="0" fontId="12" fillId="0" borderId="32" xfId="106" applyFont="1" applyFill="1" applyBorder="1" applyAlignment="1">
      <alignment horizontal="center" vertical="center"/>
      <protection/>
    </xf>
    <xf numFmtId="0" fontId="12" fillId="0" borderId="51" xfId="106" applyFont="1" applyFill="1" applyBorder="1" applyAlignment="1">
      <alignment horizontal="center" vertical="center"/>
      <protection/>
    </xf>
    <xf numFmtId="0" fontId="14" fillId="0" borderId="0" xfId="106" applyFont="1" applyFill="1" applyAlignment="1">
      <alignment horizontal="center" vertical="center"/>
      <protection/>
    </xf>
    <xf numFmtId="0" fontId="12" fillId="0" borderId="39" xfId="106" applyFont="1" applyFill="1" applyBorder="1" applyAlignment="1">
      <alignment horizontal="center" vertical="center"/>
      <protection/>
    </xf>
    <xf numFmtId="0" fontId="3" fillId="0" borderId="32" xfId="106" applyFont="1" applyBorder="1" applyAlignment="1">
      <alignment horizontal="center" vertical="center"/>
      <protection/>
    </xf>
    <xf numFmtId="0" fontId="3" fillId="0" borderId="51" xfId="106" applyFont="1" applyBorder="1" applyAlignment="1">
      <alignment horizontal="center" vertical="center"/>
      <protection/>
    </xf>
    <xf numFmtId="0" fontId="18" fillId="0" borderId="0" xfId="106" applyFont="1" applyAlignment="1">
      <alignment horizontal="center"/>
      <protection/>
    </xf>
    <xf numFmtId="0" fontId="12" fillId="0" borderId="0" xfId="106" applyFont="1" applyAlignment="1">
      <alignment horizontal="center"/>
      <protection/>
    </xf>
    <xf numFmtId="0" fontId="17" fillId="0" borderId="0" xfId="106" applyFont="1" applyAlignment="1">
      <alignment horizontal="right"/>
      <protection/>
    </xf>
    <xf numFmtId="0" fontId="17" fillId="0" borderId="55" xfId="106" applyFont="1" applyBorder="1" applyAlignment="1">
      <alignment horizontal="right"/>
      <protection/>
    </xf>
    <xf numFmtId="168" fontId="75" fillId="0" borderId="67" xfId="108" applyNumberFormat="1" applyFont="1" applyBorder="1" applyAlignment="1">
      <alignment horizontal="left" wrapText="1"/>
      <protection/>
    </xf>
    <xf numFmtId="168" fontId="75" fillId="0" borderId="34" xfId="108" applyNumberFormat="1" applyFont="1" applyBorder="1" applyAlignment="1">
      <alignment horizontal="left" wrapText="1"/>
      <protection/>
    </xf>
    <xf numFmtId="0" fontId="77" fillId="0" borderId="39" xfId="108" applyFont="1" applyBorder="1" applyAlignment="1">
      <alignment horizontal="center" vertical="center" wrapText="1"/>
      <protection/>
    </xf>
    <xf numFmtId="168" fontId="75" fillId="0" borderId="71" xfId="108" applyNumberFormat="1" applyFont="1" applyBorder="1" applyAlignment="1">
      <alignment horizontal="left" wrapText="1"/>
      <protection/>
    </xf>
    <xf numFmtId="168" fontId="75" fillId="0" borderId="75" xfId="108" applyNumberFormat="1" applyFont="1" applyBorder="1" applyAlignment="1">
      <alignment horizontal="left" wrapText="1"/>
      <protection/>
    </xf>
    <xf numFmtId="168" fontId="75" fillId="0" borderId="68" xfId="108" applyNumberFormat="1" applyFont="1" applyBorder="1" applyAlignment="1">
      <alignment horizontal="left" wrapText="1"/>
      <protection/>
    </xf>
    <xf numFmtId="0" fontId="75" fillId="0" borderId="34" xfId="108" applyFont="1" applyBorder="1" applyAlignment="1">
      <alignment horizontal="left"/>
      <protection/>
    </xf>
    <xf numFmtId="0" fontId="75" fillId="0" borderId="67" xfId="108" applyFont="1" applyBorder="1" applyAlignment="1">
      <alignment horizontal="left" vertical="center" wrapText="1"/>
      <protection/>
    </xf>
    <xf numFmtId="0" fontId="75" fillId="0" borderId="34" xfId="108" applyFont="1" applyBorder="1" applyAlignment="1">
      <alignment horizontal="left" vertical="center" wrapText="1"/>
      <protection/>
    </xf>
    <xf numFmtId="0" fontId="75" fillId="0" borderId="54" xfId="108" applyFont="1" applyBorder="1" applyAlignment="1">
      <alignment horizontal="left"/>
      <protection/>
    </xf>
    <xf numFmtId="3" fontId="87" fillId="0" borderId="0" xfId="106" applyNumberFormat="1" applyFont="1" applyAlignment="1">
      <alignment horizontal="right"/>
      <protection/>
    </xf>
    <xf numFmtId="0" fontId="72" fillId="0" borderId="0" xfId="106" applyFont="1" applyAlignment="1">
      <alignment horizontal="center"/>
      <protection/>
    </xf>
    <xf numFmtId="0" fontId="73" fillId="0" borderId="0" xfId="106" applyFont="1" applyAlignment="1">
      <alignment horizontal="center"/>
      <protection/>
    </xf>
    <xf numFmtId="0" fontId="19" fillId="0" borderId="0" xfId="106" applyFont="1" applyAlignment="1">
      <alignment horizontal="center"/>
      <protection/>
    </xf>
    <xf numFmtId="168" fontId="74" fillId="0" borderId="39" xfId="108" applyNumberFormat="1" applyFont="1" applyBorder="1" applyAlignment="1">
      <alignment horizontal="center" vertical="center" wrapText="1"/>
      <protection/>
    </xf>
    <xf numFmtId="3" fontId="87" fillId="0" borderId="55" xfId="106" applyNumberFormat="1" applyFont="1" applyBorder="1" applyAlignment="1">
      <alignment horizontal="right"/>
      <protection/>
    </xf>
    <xf numFmtId="3" fontId="74" fillId="0" borderId="44" xfId="108" applyNumberFormat="1" applyFont="1" applyBorder="1" applyAlignment="1">
      <alignment horizontal="center" vertical="center" wrapText="1"/>
      <protection/>
    </xf>
    <xf numFmtId="3" fontId="74" fillId="0" borderId="27" xfId="108" applyNumberFormat="1" applyFont="1" applyBorder="1" applyAlignment="1">
      <alignment horizontal="center" vertical="center" wrapText="1"/>
      <protection/>
    </xf>
    <xf numFmtId="3" fontId="74" fillId="0" borderId="45" xfId="108" applyNumberFormat="1" applyFont="1" applyBorder="1" applyAlignment="1">
      <alignment horizontal="center" vertical="center" wrapText="1"/>
      <protection/>
    </xf>
    <xf numFmtId="0" fontId="78" fillId="0" borderId="55" xfId="106" applyFont="1" applyBorder="1" applyAlignment="1">
      <alignment horizontal="center" vertical="center" wrapText="1"/>
      <protection/>
    </xf>
    <xf numFmtId="0" fontId="23" fillId="50" borderId="80" xfId="106" applyFont="1" applyFill="1" applyBorder="1" applyAlignment="1">
      <alignment horizontal="center" vertical="center" wrapText="1"/>
      <protection/>
    </xf>
    <xf numFmtId="0" fontId="23" fillId="50" borderId="33" xfId="106" applyFont="1" applyFill="1" applyBorder="1" applyAlignment="1">
      <alignment horizontal="center" vertical="center" wrapText="1"/>
      <protection/>
    </xf>
    <xf numFmtId="0" fontId="23" fillId="50" borderId="87" xfId="106" applyFont="1" applyFill="1" applyBorder="1" applyAlignment="1">
      <alignment horizontal="center" vertical="center" wrapText="1"/>
      <protection/>
    </xf>
    <xf numFmtId="0" fontId="23" fillId="50" borderId="43" xfId="106" applyFont="1" applyFill="1" applyBorder="1" applyAlignment="1">
      <alignment horizontal="center" vertical="center" wrapText="1"/>
      <protection/>
    </xf>
    <xf numFmtId="0" fontId="23" fillId="50" borderId="53" xfId="106" applyFont="1" applyFill="1" applyBorder="1" applyAlignment="1">
      <alignment horizontal="center" vertical="center" wrapText="1"/>
      <protection/>
    </xf>
    <xf numFmtId="0" fontId="23" fillId="50" borderId="101" xfId="106" applyFont="1" applyFill="1" applyBorder="1" applyAlignment="1">
      <alignment horizontal="center" vertical="center" wrapText="1"/>
      <protection/>
    </xf>
    <xf numFmtId="3" fontId="23" fillId="50" borderId="72" xfId="106" applyNumberFormat="1" applyFont="1" applyFill="1" applyBorder="1" applyAlignment="1">
      <alignment horizontal="center" vertical="center" wrapText="1"/>
      <protection/>
    </xf>
    <xf numFmtId="3" fontId="23" fillId="50" borderId="69" xfId="106" applyNumberFormat="1" applyFont="1" applyFill="1" applyBorder="1" applyAlignment="1">
      <alignment horizontal="center" vertical="center" wrapText="1"/>
      <protection/>
    </xf>
    <xf numFmtId="3" fontId="23" fillId="50" borderId="58" xfId="106" applyNumberFormat="1" applyFont="1" applyFill="1" applyBorder="1" applyAlignment="1">
      <alignment horizontal="center" vertical="center" wrapText="1"/>
      <protection/>
    </xf>
    <xf numFmtId="3" fontId="23" fillId="50" borderId="96" xfId="106" applyNumberFormat="1" applyFont="1" applyFill="1" applyBorder="1" applyAlignment="1">
      <alignment horizontal="center" vertical="center" wrapText="1"/>
      <protection/>
    </xf>
    <xf numFmtId="3" fontId="23" fillId="50" borderId="0" xfId="106" applyNumberFormat="1" applyFont="1" applyFill="1" applyAlignment="1">
      <alignment horizontal="center" vertical="center" wrapText="1"/>
      <protection/>
    </xf>
    <xf numFmtId="3" fontId="23" fillId="50" borderId="90" xfId="106" applyNumberFormat="1" applyFont="1" applyFill="1" applyBorder="1" applyAlignment="1">
      <alignment horizontal="center" vertical="center" wrapText="1"/>
      <protection/>
    </xf>
    <xf numFmtId="3" fontId="23" fillId="50" borderId="102" xfId="106" applyNumberFormat="1" applyFont="1" applyFill="1" applyBorder="1" applyAlignment="1">
      <alignment horizontal="center" vertical="center" wrapText="1"/>
      <protection/>
    </xf>
    <xf numFmtId="3" fontId="23" fillId="50" borderId="103" xfId="106" applyNumberFormat="1" applyFont="1" applyFill="1" applyBorder="1" applyAlignment="1">
      <alignment horizontal="center" vertical="center" wrapText="1"/>
      <protection/>
    </xf>
    <xf numFmtId="3" fontId="23" fillId="50" borderId="104" xfId="106" applyNumberFormat="1" applyFont="1" applyFill="1" applyBorder="1" applyAlignment="1">
      <alignment horizontal="center" vertical="center" wrapText="1"/>
      <protection/>
    </xf>
    <xf numFmtId="3" fontId="23" fillId="50" borderId="76" xfId="106" applyNumberFormat="1" applyFont="1" applyFill="1" applyBorder="1" applyAlignment="1">
      <alignment horizontal="center" vertical="center" wrapText="1"/>
      <protection/>
    </xf>
    <xf numFmtId="3" fontId="23" fillId="50" borderId="89" xfId="106" applyNumberFormat="1" applyFont="1" applyFill="1" applyBorder="1" applyAlignment="1">
      <alignment horizontal="center" vertical="center" wrapText="1"/>
      <protection/>
    </xf>
    <xf numFmtId="3" fontId="23" fillId="50" borderId="105" xfId="106" applyNumberFormat="1" applyFont="1" applyFill="1" applyBorder="1" applyAlignment="1">
      <alignment horizontal="center" vertical="center" wrapText="1"/>
      <protection/>
    </xf>
    <xf numFmtId="3" fontId="87" fillId="0" borderId="0" xfId="106" applyNumberFormat="1" applyFont="1" applyAlignment="1">
      <alignment horizontal="right" vertical="center"/>
      <protection/>
    </xf>
    <xf numFmtId="0" fontId="78" fillId="0" borderId="0" xfId="106" applyFont="1" applyAlignment="1">
      <alignment horizontal="center" vertical="center" wrapText="1"/>
      <protection/>
    </xf>
    <xf numFmtId="0" fontId="78" fillId="0" borderId="0" xfId="106" applyFont="1" applyAlignment="1">
      <alignment horizontal="center" vertical="center"/>
      <protection/>
    </xf>
    <xf numFmtId="0" fontId="12" fillId="0" borderId="0" xfId="106" applyFont="1" applyAlignment="1">
      <alignment horizontal="center" vertical="center"/>
      <protection/>
    </xf>
    <xf numFmtId="0" fontId="76" fillId="0" borderId="0" xfId="106" applyFont="1" applyAlignment="1">
      <alignment horizontal="center" vertical="center"/>
      <protection/>
    </xf>
    <xf numFmtId="0" fontId="91" fillId="0" borderId="0" xfId="106" applyFont="1" applyAlignment="1">
      <alignment horizontal="right"/>
      <protection/>
    </xf>
    <xf numFmtId="0" fontId="14" fillId="0" borderId="0" xfId="106" applyFont="1" applyAlignment="1">
      <alignment horizontal="center" wrapText="1"/>
      <protection/>
    </xf>
    <xf numFmtId="0" fontId="12" fillId="0" borderId="50" xfId="106" applyFont="1" applyBorder="1" applyAlignment="1">
      <alignment horizontal="center" vertical="center" wrapText="1"/>
      <protection/>
    </xf>
    <xf numFmtId="0" fontId="12" fillId="0" borderId="26" xfId="106" applyFont="1" applyBorder="1" applyAlignment="1">
      <alignment horizontal="center" vertical="center" wrapText="1"/>
      <protection/>
    </xf>
    <xf numFmtId="0" fontId="12" fillId="0" borderId="73" xfId="106" applyFont="1" applyBorder="1" applyAlignment="1">
      <alignment horizontal="center" vertical="center"/>
      <protection/>
    </xf>
    <xf numFmtId="0" fontId="12" fillId="0" borderId="54" xfId="106" applyFont="1" applyBorder="1" applyAlignment="1">
      <alignment horizontal="center" vertical="center"/>
      <protection/>
    </xf>
    <xf numFmtId="0" fontId="12" fillId="0" borderId="22" xfId="106" applyFont="1" applyBorder="1" applyAlignment="1">
      <alignment horizontal="center" vertical="center"/>
      <protection/>
    </xf>
    <xf numFmtId="0" fontId="12" fillId="0" borderId="30" xfId="106" applyFont="1" applyBorder="1" applyAlignment="1">
      <alignment horizontal="center" vertical="center"/>
      <protection/>
    </xf>
    <xf numFmtId="0" fontId="12" fillId="0" borderId="47" xfId="106" applyFont="1" applyBorder="1" applyAlignment="1">
      <alignment horizontal="center" vertical="center"/>
      <protection/>
    </xf>
    <xf numFmtId="0" fontId="12" fillId="0" borderId="67" xfId="106" applyFont="1" applyBorder="1" applyAlignment="1">
      <alignment horizontal="center" vertical="center"/>
      <protection/>
    </xf>
    <xf numFmtId="0" fontId="12" fillId="0" borderId="34" xfId="106" applyFont="1" applyBorder="1" applyAlignment="1">
      <alignment horizontal="center" vertical="center"/>
      <protection/>
    </xf>
    <xf numFmtId="0" fontId="12" fillId="0" borderId="91" xfId="106" applyFont="1" applyBorder="1" applyAlignment="1">
      <alignment horizontal="center" vertical="center"/>
      <protection/>
    </xf>
    <xf numFmtId="0" fontId="12" fillId="0" borderId="19" xfId="106" applyFont="1" applyBorder="1" applyAlignment="1">
      <alignment horizontal="center" vertical="center"/>
      <protection/>
    </xf>
    <xf numFmtId="0" fontId="12" fillId="0" borderId="24" xfId="106" applyFont="1" applyBorder="1" applyAlignment="1">
      <alignment horizontal="center" vertical="center"/>
      <protection/>
    </xf>
    <xf numFmtId="0" fontId="12" fillId="0" borderId="25" xfId="106" applyFont="1" applyBorder="1" applyAlignment="1">
      <alignment horizontal="center" vertical="center"/>
      <protection/>
    </xf>
    <xf numFmtId="0" fontId="12" fillId="1" borderId="24" xfId="106" applyFont="1" applyFill="1" applyBorder="1" applyAlignment="1">
      <alignment horizontal="center" vertical="center"/>
      <protection/>
    </xf>
    <xf numFmtId="0" fontId="12" fillId="1" borderId="67" xfId="106" applyFont="1" applyFill="1" applyBorder="1" applyAlignment="1">
      <alignment horizontal="center" vertical="center"/>
      <protection/>
    </xf>
    <xf numFmtId="0" fontId="12" fillId="1" borderId="25" xfId="106" applyFont="1" applyFill="1" applyBorder="1" applyAlignment="1">
      <alignment horizontal="center" vertical="center"/>
      <protection/>
    </xf>
    <xf numFmtId="0" fontId="12" fillId="1" borderId="50" xfId="106" applyFont="1" applyFill="1" applyBorder="1" applyAlignment="1">
      <alignment horizontal="center" vertical="center" wrapText="1"/>
      <protection/>
    </xf>
    <xf numFmtId="0" fontId="12" fillId="1" borderId="26" xfId="106" applyFont="1" applyFill="1" applyBorder="1" applyAlignment="1">
      <alignment horizontal="center" vertical="center" wrapText="1"/>
      <protection/>
    </xf>
    <xf numFmtId="0" fontId="12" fillId="1" borderId="73" xfId="106" applyFont="1" applyFill="1" applyBorder="1" applyAlignment="1">
      <alignment horizontal="center" vertical="center"/>
      <protection/>
    </xf>
    <xf numFmtId="0" fontId="12" fillId="1" borderId="54" xfId="106" applyFont="1" applyFill="1" applyBorder="1" applyAlignment="1">
      <alignment horizontal="center" vertical="center"/>
      <protection/>
    </xf>
    <xf numFmtId="0" fontId="12" fillId="1" borderId="22" xfId="106" applyFont="1" applyFill="1" applyBorder="1" applyAlignment="1">
      <alignment horizontal="center" vertical="center"/>
      <protection/>
    </xf>
    <xf numFmtId="0" fontId="12" fillId="1" borderId="30" xfId="106" applyFont="1" applyFill="1" applyBorder="1" applyAlignment="1">
      <alignment horizontal="center" vertical="center"/>
      <protection/>
    </xf>
    <xf numFmtId="0" fontId="12" fillId="1" borderId="47" xfId="106" applyFont="1" applyFill="1" applyBorder="1" applyAlignment="1">
      <alignment horizontal="center" vertical="center"/>
      <protection/>
    </xf>
    <xf numFmtId="0" fontId="12" fillId="1" borderId="34" xfId="106" applyFont="1" applyFill="1" applyBorder="1" applyAlignment="1">
      <alignment horizontal="center" vertical="center"/>
      <protection/>
    </xf>
    <xf numFmtId="0" fontId="12" fillId="1" borderId="91" xfId="106" applyFont="1" applyFill="1" applyBorder="1" applyAlignment="1">
      <alignment horizontal="center" vertical="center"/>
      <protection/>
    </xf>
    <xf numFmtId="0" fontId="12" fillId="1" borderId="19" xfId="106" applyFont="1" applyFill="1" applyBorder="1" applyAlignment="1">
      <alignment horizontal="center" vertical="center"/>
      <protection/>
    </xf>
    <xf numFmtId="0" fontId="21" fillId="0" borderId="0" xfId="106" applyFont="1" applyAlignment="1">
      <alignment horizontal="center"/>
      <protection/>
    </xf>
    <xf numFmtId="0" fontId="14" fillId="0" borderId="0" xfId="106" applyFont="1" applyAlignment="1">
      <alignment horizontal="center"/>
      <protection/>
    </xf>
    <xf numFmtId="0" fontId="27" fillId="0" borderId="0" xfId="109" applyFont="1" applyAlignment="1">
      <alignment horizontal="center"/>
      <protection/>
    </xf>
    <xf numFmtId="0" fontId="42" fillId="0" borderId="0" xfId="109" applyFont="1" applyAlignment="1">
      <alignment horizontal="right"/>
      <protection/>
    </xf>
    <xf numFmtId="169" fontId="83" fillId="0" borderId="0" xfId="109" applyNumberFormat="1" applyFont="1" applyAlignment="1">
      <alignment horizontal="center" vertical="center" wrapText="1"/>
      <protection/>
    </xf>
    <xf numFmtId="0" fontId="60" fillId="0" borderId="55" xfId="0" applyFont="1" applyBorder="1" applyAlignment="1">
      <alignment horizontal="right"/>
    </xf>
    <xf numFmtId="0" fontId="46" fillId="0" borderId="22" xfId="109" applyFont="1" applyBorder="1" applyAlignment="1">
      <alignment horizontal="center" vertical="center" wrapText="1"/>
      <protection/>
    </xf>
    <xf numFmtId="0" fontId="46" fillId="0" borderId="29" xfId="109" applyFont="1" applyBorder="1" applyAlignment="1">
      <alignment horizontal="center" vertical="center" wrapText="1"/>
      <protection/>
    </xf>
    <xf numFmtId="0" fontId="46" fillId="0" borderId="30" xfId="109" applyFont="1" applyBorder="1" applyAlignment="1">
      <alignment horizontal="center" vertical="center" wrapText="1"/>
      <protection/>
    </xf>
    <xf numFmtId="0" fontId="46" fillId="0" borderId="28" xfId="109" applyFont="1" applyBorder="1" applyAlignment="1">
      <alignment horizontal="center" vertical="center" wrapText="1"/>
      <protection/>
    </xf>
    <xf numFmtId="0" fontId="46" fillId="0" borderId="73" xfId="109" applyFont="1" applyBorder="1" applyAlignment="1">
      <alignment horizontal="center" vertical="center" wrapText="1"/>
      <protection/>
    </xf>
    <xf numFmtId="0" fontId="46" fillId="0" borderId="54" xfId="109" applyFont="1" applyBorder="1" applyAlignment="1">
      <alignment horizontal="center" vertical="center" wrapText="1"/>
      <protection/>
    </xf>
    <xf numFmtId="0" fontId="46" fillId="0" borderId="100" xfId="109" applyFont="1" applyBorder="1" applyAlignment="1">
      <alignment horizontal="center" vertical="center" wrapText="1"/>
      <protection/>
    </xf>
    <xf numFmtId="0" fontId="46" fillId="0" borderId="44" xfId="109" applyFont="1" applyBorder="1" applyAlignment="1">
      <alignment horizontal="left" vertical="center"/>
      <protection/>
    </xf>
    <xf numFmtId="0" fontId="46" fillId="0" borderId="27" xfId="109" applyFont="1" applyBorder="1" applyAlignment="1">
      <alignment horizontal="left" vertical="center"/>
      <protection/>
    </xf>
    <xf numFmtId="0" fontId="45" fillId="0" borderId="69" xfId="109" applyFont="1" applyBorder="1" applyAlignment="1">
      <alignment horizontal="justify" vertical="center" wrapText="1"/>
      <protection/>
    </xf>
    <xf numFmtId="0" fontId="44" fillId="0" borderId="55" xfId="0" applyFont="1" applyBorder="1" applyAlignment="1">
      <alignment horizontal="right" vertical="center"/>
    </xf>
    <xf numFmtId="169" fontId="81" fillId="0" borderId="0" xfId="109" applyNumberFormat="1" applyFont="1" applyAlignment="1">
      <alignment horizontal="center" vertical="center" wrapText="1"/>
      <protection/>
    </xf>
    <xf numFmtId="0" fontId="43" fillId="0" borderId="0" xfId="109" applyFont="1" applyAlignment="1">
      <alignment horizontal="right" vertical="center"/>
      <protection/>
    </xf>
    <xf numFmtId="10" fontId="1" fillId="0" borderId="28" xfId="105" applyNumberFormat="1" applyBorder="1" applyAlignment="1">
      <alignment horizontal="center"/>
      <protection/>
    </xf>
    <xf numFmtId="10" fontId="1" fillId="0" borderId="53" xfId="105" applyNumberFormat="1" applyBorder="1" applyAlignment="1">
      <alignment horizontal="center"/>
      <protection/>
    </xf>
    <xf numFmtId="10" fontId="1" fillId="0" borderId="48" xfId="105" applyNumberFormat="1" applyBorder="1" applyAlignment="1">
      <alignment horizontal="center"/>
      <protection/>
    </xf>
    <xf numFmtId="10" fontId="66" fillId="0" borderId="43" xfId="105" applyNumberFormat="1" applyFont="1" applyBorder="1" applyAlignment="1">
      <alignment horizontal="center"/>
      <protection/>
    </xf>
    <xf numFmtId="10" fontId="66" fillId="0" borderId="48" xfId="105" applyNumberFormat="1" applyFont="1" applyBorder="1" applyAlignment="1">
      <alignment horizontal="center"/>
      <protection/>
    </xf>
    <xf numFmtId="10" fontId="66" fillId="0" borderId="53" xfId="105" applyNumberFormat="1" applyFont="1" applyBorder="1" applyAlignment="1">
      <alignment horizontal="center"/>
      <protection/>
    </xf>
    <xf numFmtId="0" fontId="23" fillId="0" borderId="0" xfId="105" applyFont="1" applyAlignment="1">
      <alignment horizontal="center" vertical="center" wrapText="1"/>
      <protection/>
    </xf>
    <xf numFmtId="0" fontId="86" fillId="0" borderId="0" xfId="105" applyFont="1" applyAlignment="1">
      <alignment horizontal="right" vertical="center"/>
      <protection/>
    </xf>
    <xf numFmtId="0" fontId="86" fillId="0" borderId="55" xfId="105" applyFont="1" applyBorder="1" applyAlignment="1">
      <alignment horizontal="right"/>
      <protection/>
    </xf>
    <xf numFmtId="169" fontId="58" fillId="0" borderId="56" xfId="100" applyNumberFormat="1" applyFont="1" applyBorder="1" applyAlignment="1">
      <alignment horizontal="center" textRotation="180" wrapText="1"/>
      <protection/>
    </xf>
    <xf numFmtId="169" fontId="46" fillId="0" borderId="0" xfId="100" applyNumberFormat="1" applyFont="1" applyAlignment="1">
      <alignment horizontal="center" vertical="center" wrapText="1"/>
      <protection/>
    </xf>
    <xf numFmtId="0" fontId="137" fillId="51" borderId="29" xfId="97" applyFont="1" applyFill="1" applyBorder="1" applyAlignment="1">
      <alignment horizontal="left" vertical="center" wrapText="1"/>
      <protection/>
    </xf>
    <xf numFmtId="0" fontId="137" fillId="51" borderId="40" xfId="97" applyFont="1" applyFill="1" applyBorder="1" applyAlignment="1">
      <alignment horizontal="left" vertical="center" wrapText="1"/>
      <protection/>
    </xf>
    <xf numFmtId="0" fontId="137" fillId="0" borderId="29" xfId="97" applyFont="1" applyFill="1" applyBorder="1" applyAlignment="1">
      <alignment horizontal="left" vertical="center" wrapText="1"/>
      <protection/>
    </xf>
    <xf numFmtId="0" fontId="137" fillId="0" borderId="40" xfId="97" applyFont="1" applyFill="1" applyBorder="1" applyAlignment="1">
      <alignment horizontal="left" vertical="center" wrapText="1"/>
      <protection/>
    </xf>
    <xf numFmtId="0" fontId="0" fillId="0" borderId="28" xfId="97" applyBorder="1" applyAlignment="1">
      <alignment horizontal="center"/>
      <protection/>
    </xf>
    <xf numFmtId="0" fontId="0" fillId="0" borderId="42" xfId="97" applyBorder="1" applyAlignment="1">
      <alignment horizontal="center"/>
      <protection/>
    </xf>
    <xf numFmtId="0" fontId="0" fillId="0" borderId="29" xfId="97" applyBorder="1" applyAlignment="1">
      <alignment horizontal="left" vertical="center" wrapText="1"/>
      <protection/>
    </xf>
    <xf numFmtId="0" fontId="0" fillId="0" borderId="46" xfId="97" applyBorder="1" applyAlignment="1">
      <alignment horizontal="left" vertical="center" wrapText="1"/>
      <protection/>
    </xf>
    <xf numFmtId="0" fontId="0" fillId="0" borderId="40" xfId="97" applyBorder="1" applyAlignment="1">
      <alignment horizontal="left" vertical="center" wrapText="1"/>
      <protection/>
    </xf>
    <xf numFmtId="0" fontId="0" fillId="0" borderId="28" xfId="97" applyBorder="1" applyAlignment="1">
      <alignment horizontal="left" vertical="center" wrapText="1"/>
      <protection/>
    </xf>
    <xf numFmtId="0" fontId="0" fillId="0" borderId="42" xfId="97" applyBorder="1" applyAlignment="1">
      <alignment horizontal="left" vertical="center" wrapText="1"/>
      <protection/>
    </xf>
    <xf numFmtId="3" fontId="0" fillId="0" borderId="28" xfId="97" applyNumberFormat="1" applyBorder="1" applyAlignment="1">
      <alignment horizontal="right" vertical="center"/>
      <protection/>
    </xf>
    <xf numFmtId="3" fontId="0" fillId="0" borderId="42" xfId="97" applyNumberFormat="1" applyBorder="1" applyAlignment="1">
      <alignment horizontal="right" vertical="center"/>
      <protection/>
    </xf>
    <xf numFmtId="0" fontId="9" fillId="0" borderId="0" xfId="97" applyFont="1" applyAlignment="1">
      <alignment horizontal="right"/>
      <protection/>
    </xf>
    <xf numFmtId="0" fontId="48" fillId="0" borderId="0" xfId="97" applyFont="1" applyAlignment="1">
      <alignment horizontal="right"/>
      <protection/>
    </xf>
    <xf numFmtId="0" fontId="39" fillId="0" borderId="0" xfId="97" applyFont="1" applyAlignment="1">
      <alignment horizontal="center"/>
      <protection/>
    </xf>
    <xf numFmtId="0" fontId="7" fillId="0" borderId="0" xfId="97" applyFont="1" applyAlignment="1">
      <alignment horizontal="center" wrapText="1"/>
      <protection/>
    </xf>
    <xf numFmtId="0" fontId="6" fillId="0" borderId="63" xfId="97" applyFont="1" applyBorder="1" applyAlignment="1">
      <alignment horizontal="center" vertical="center"/>
      <protection/>
    </xf>
    <xf numFmtId="0" fontId="6" fillId="0" borderId="39" xfId="97" applyFont="1" applyBorder="1" applyAlignment="1">
      <alignment horizontal="center" vertical="center"/>
      <protection/>
    </xf>
    <xf numFmtId="169" fontId="62" fillId="0" borderId="0" xfId="0" applyNumberFormat="1" applyFont="1" applyAlignment="1">
      <alignment horizontal="right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3" fontId="137" fillId="0" borderId="30" xfId="97" applyNumberFormat="1" applyFont="1" applyBorder="1">
      <alignment/>
      <protection/>
    </xf>
    <xf numFmtId="3" fontId="137" fillId="0" borderId="47" xfId="97" applyNumberFormat="1" applyFont="1" applyBorder="1">
      <alignment/>
      <protection/>
    </xf>
    <xf numFmtId="0" fontId="137" fillId="0" borderId="28" xfId="97" applyFont="1" applyBorder="1">
      <alignment/>
      <protection/>
    </xf>
    <xf numFmtId="0" fontId="137" fillId="0" borderId="61" xfId="97" applyFont="1" applyBorder="1">
      <alignment/>
      <protection/>
    </xf>
    <xf numFmtId="3" fontId="137" fillId="0" borderId="20" xfId="97" applyNumberFormat="1" applyFont="1" applyBorder="1">
      <alignment/>
      <protection/>
    </xf>
    <xf numFmtId="3" fontId="7" fillId="0" borderId="42" xfId="0" applyNumberFormat="1" applyFont="1" applyFill="1" applyBorder="1" applyAlignment="1" applyProtection="1">
      <alignment vertical="center"/>
      <protection locked="0"/>
    </xf>
    <xf numFmtId="169" fontId="59" fillId="0" borderId="0" xfId="100" applyNumberFormat="1" applyFont="1" applyAlignment="1">
      <alignment vertical="center" wrapText="1"/>
      <protection/>
    </xf>
    <xf numFmtId="169" fontId="59" fillId="0" borderId="0" xfId="100" applyNumberFormat="1" applyFont="1" applyAlignment="1">
      <alignment horizontal="center" vertical="center" wrapText="1"/>
      <protection/>
    </xf>
    <xf numFmtId="169" fontId="31" fillId="0" borderId="0" xfId="100" applyNumberFormat="1" applyFont="1" applyAlignment="1">
      <alignment horizontal="right"/>
      <protection/>
    </xf>
    <xf numFmtId="169" fontId="49" fillId="0" borderId="106" xfId="100" applyNumberFormat="1" applyFont="1" applyBorder="1" applyAlignment="1">
      <alignment horizontal="center" vertical="center" wrapText="1"/>
      <protection/>
    </xf>
    <xf numFmtId="169" fontId="49" fillId="0" borderId="106" xfId="100" applyNumberFormat="1" applyFont="1" applyBorder="1" applyAlignment="1">
      <alignment horizontal="center" vertical="center"/>
      <protection/>
    </xf>
    <xf numFmtId="49" fontId="49" fillId="0" borderId="106" xfId="100" applyNumberFormat="1" applyFont="1" applyBorder="1" applyAlignment="1">
      <alignment horizontal="center" vertical="center" wrapText="1"/>
      <protection/>
    </xf>
    <xf numFmtId="169" fontId="49" fillId="0" borderId="80" xfId="100" applyNumberFormat="1" applyFont="1" applyBorder="1" applyAlignment="1">
      <alignment horizontal="center" vertical="center"/>
      <protection/>
    </xf>
    <xf numFmtId="169" fontId="49" fillId="0" borderId="54" xfId="100" applyNumberFormat="1" applyFont="1" applyBorder="1" applyAlignment="1">
      <alignment horizontal="center" vertical="center"/>
      <protection/>
    </xf>
    <xf numFmtId="169" fontId="49" fillId="0" borderId="100" xfId="100" applyNumberFormat="1" applyFont="1" applyBorder="1" applyAlignment="1">
      <alignment horizontal="center" vertical="center"/>
      <protection/>
    </xf>
    <xf numFmtId="169" fontId="27" fillId="0" borderId="0" xfId="100" applyNumberFormat="1" applyFont="1" applyAlignment="1">
      <alignment vertical="center"/>
      <protection/>
    </xf>
    <xf numFmtId="169" fontId="49" fillId="0" borderId="107" xfId="100" applyNumberFormat="1" applyFont="1" applyBorder="1" applyAlignment="1">
      <alignment horizontal="center" vertical="center" wrapText="1"/>
      <protection/>
    </xf>
    <xf numFmtId="169" fontId="49" fillId="0" borderId="107" xfId="100" applyNumberFormat="1" applyFont="1" applyBorder="1" applyAlignment="1">
      <alignment horizontal="center" vertical="center"/>
      <protection/>
    </xf>
    <xf numFmtId="49" fontId="49" fillId="0" borderId="107" xfId="100" applyNumberFormat="1" applyFont="1" applyBorder="1" applyAlignment="1">
      <alignment horizontal="center" vertical="center" wrapText="1"/>
      <protection/>
    </xf>
    <xf numFmtId="169" fontId="49" fillId="0" borderId="75" xfId="100" applyNumberFormat="1" applyFont="1" applyBorder="1" applyAlignment="1">
      <alignment horizontal="center" vertical="center"/>
      <protection/>
    </xf>
    <xf numFmtId="169" fontId="49" fillId="0" borderId="21" xfId="100" applyNumberFormat="1" applyFont="1" applyBorder="1" applyAlignment="1">
      <alignment horizontal="center" vertical="center" wrapText="1"/>
      <protection/>
    </xf>
    <xf numFmtId="169" fontId="27" fillId="0" borderId="0" xfId="100" applyNumberFormat="1" applyFont="1" applyAlignment="1">
      <alignment horizontal="center" vertical="center"/>
      <protection/>
    </xf>
    <xf numFmtId="169" fontId="53" fillId="0" borderId="32" xfId="100" applyNumberFormat="1" applyFont="1" applyBorder="1" applyAlignment="1">
      <alignment horizontal="center" vertical="center" wrapText="1"/>
      <protection/>
    </xf>
    <xf numFmtId="169" fontId="53" fillId="0" borderId="77" xfId="100" applyNumberFormat="1" applyFont="1" applyBorder="1" applyAlignment="1">
      <alignment horizontal="center" vertical="center" wrapText="1"/>
      <protection/>
    </xf>
    <xf numFmtId="169" fontId="53" fillId="0" borderId="63" xfId="100" applyNumberFormat="1" applyFont="1" applyBorder="1" applyAlignment="1">
      <alignment horizontal="center" vertical="center" wrapText="1"/>
      <protection/>
    </xf>
    <xf numFmtId="169" fontId="53" fillId="0" borderId="45" xfId="100" applyNumberFormat="1" applyFont="1" applyBorder="1" applyAlignment="1">
      <alignment horizontal="center" vertical="center" wrapText="1"/>
      <protection/>
    </xf>
    <xf numFmtId="169" fontId="53" fillId="0" borderId="79" xfId="100" applyNumberFormat="1" applyFont="1" applyBorder="1" applyAlignment="1">
      <alignment horizontal="center" vertical="center" wrapText="1"/>
      <protection/>
    </xf>
    <xf numFmtId="169" fontId="27" fillId="0" borderId="0" xfId="100" applyNumberFormat="1" applyFont="1" applyAlignment="1">
      <alignment horizontal="center" vertical="center" wrapText="1"/>
      <protection/>
    </xf>
    <xf numFmtId="49" fontId="115" fillId="0" borderId="27" xfId="100" applyNumberFormat="1" applyFont="1" applyBorder="1" applyAlignment="1" applyProtection="1">
      <alignment horizontal="center" vertical="center" wrapText="1"/>
      <protection locked="0"/>
    </xf>
    <xf numFmtId="169" fontId="115" fillId="0" borderId="77" xfId="100" applyNumberFormat="1" applyFont="1" applyBorder="1" applyAlignment="1">
      <alignment vertical="center" wrapText="1"/>
      <protection/>
    </xf>
    <xf numFmtId="169" fontId="115" fillId="0" borderId="44" xfId="100" applyNumberFormat="1" applyFont="1" applyBorder="1" applyAlignment="1">
      <alignment vertical="center" wrapText="1"/>
      <protection/>
    </xf>
    <xf numFmtId="169" fontId="115" fillId="0" borderId="27" xfId="100" applyNumberFormat="1" applyFont="1" applyBorder="1" applyAlignment="1">
      <alignment vertical="center" wrapText="1"/>
      <protection/>
    </xf>
    <xf numFmtId="169" fontId="115" fillId="0" borderId="45" xfId="100" applyNumberFormat="1" applyFont="1" applyBorder="1" applyAlignment="1">
      <alignment vertical="center" wrapText="1"/>
      <protection/>
    </xf>
    <xf numFmtId="169" fontId="45" fillId="0" borderId="77" xfId="100" applyNumberFormat="1" applyFont="1" applyBorder="1" applyAlignment="1">
      <alignment vertical="center" wrapText="1"/>
      <protection/>
    </xf>
    <xf numFmtId="169" fontId="45" fillId="0" borderId="78" xfId="100" applyNumberFormat="1" applyFont="1" applyBorder="1" applyAlignment="1" applyProtection="1">
      <alignment horizontal="left" vertical="center" wrapText="1" indent="1"/>
      <protection locked="0"/>
    </xf>
    <xf numFmtId="49" fontId="115" fillId="0" borderId="24" xfId="100" applyNumberFormat="1" applyFont="1" applyBorder="1" applyAlignment="1" applyProtection="1">
      <alignment horizontal="center" vertical="center" wrapText="1"/>
      <protection locked="0"/>
    </xf>
    <xf numFmtId="169" fontId="115" fillId="0" borderId="78" xfId="100" applyNumberFormat="1" applyFont="1" applyBorder="1" applyAlignment="1" applyProtection="1">
      <alignment vertical="center" wrapText="1"/>
      <protection locked="0"/>
    </xf>
    <xf numFmtId="169" fontId="115" fillId="0" borderId="19" xfId="100" applyNumberFormat="1" applyFont="1" applyBorder="1" applyAlignment="1" applyProtection="1">
      <alignment vertical="center" wrapText="1"/>
      <protection locked="0"/>
    </xf>
    <xf numFmtId="169" fontId="115" fillId="0" borderId="24" xfId="100" applyNumberFormat="1" applyFont="1" applyBorder="1" applyAlignment="1" applyProtection="1">
      <alignment vertical="center" wrapText="1"/>
      <protection locked="0"/>
    </xf>
    <xf numFmtId="169" fontId="115" fillId="0" borderId="25" xfId="100" applyNumberFormat="1" applyFont="1" applyBorder="1" applyAlignment="1" applyProtection="1">
      <alignment vertical="center" wrapText="1"/>
      <protection locked="0"/>
    </xf>
    <xf numFmtId="169" fontId="45" fillId="0" borderId="78" xfId="100" applyNumberFormat="1" applyFont="1" applyBorder="1" applyAlignment="1">
      <alignment vertical="center" wrapText="1"/>
      <protection/>
    </xf>
    <xf numFmtId="49" fontId="115" fillId="0" borderId="22" xfId="100" applyNumberFormat="1" applyFont="1" applyBorder="1" applyAlignment="1" applyProtection="1">
      <alignment horizontal="center" vertical="center" wrapText="1"/>
      <protection locked="0"/>
    </xf>
    <xf numFmtId="169" fontId="115" fillId="0" borderId="98" xfId="100" applyNumberFormat="1" applyFont="1" applyBorder="1" applyAlignment="1">
      <alignment vertical="center" wrapText="1"/>
      <protection/>
    </xf>
    <xf numFmtId="169" fontId="115" fillId="0" borderId="30" xfId="100" applyNumberFormat="1" applyFont="1" applyBorder="1" applyAlignment="1">
      <alignment vertical="center" wrapText="1"/>
      <protection/>
    </xf>
    <xf numFmtId="169" fontId="115" fillId="0" borderId="47" xfId="100" applyNumberFormat="1" applyFont="1" applyBorder="1" applyAlignment="1">
      <alignment vertical="center" wrapText="1"/>
      <protection/>
    </xf>
    <xf numFmtId="169" fontId="45" fillId="0" borderId="98" xfId="100" applyNumberFormat="1" applyFont="1" applyBorder="1" applyAlignment="1">
      <alignment vertical="center" wrapText="1"/>
      <protection/>
    </xf>
    <xf numFmtId="49" fontId="115" fillId="0" borderId="19" xfId="100" applyNumberFormat="1" applyFont="1" applyBorder="1" applyAlignment="1" applyProtection="1">
      <alignment horizontal="center" vertical="center" wrapText="1"/>
      <protection locked="0"/>
    </xf>
    <xf numFmtId="169" fontId="115" fillId="0" borderId="78" xfId="100" applyNumberFormat="1" applyFont="1" applyBorder="1" applyAlignment="1">
      <alignment vertical="center" wrapText="1"/>
      <protection/>
    </xf>
    <xf numFmtId="169" fontId="115" fillId="0" borderId="19" xfId="100" applyNumberFormat="1" applyFont="1" applyBorder="1" applyAlignment="1">
      <alignment vertical="center" wrapText="1"/>
      <protection/>
    </xf>
    <xf numFmtId="169" fontId="115" fillId="0" borderId="24" xfId="100" applyNumberFormat="1" applyFont="1" applyBorder="1" applyAlignment="1">
      <alignment vertical="center" wrapText="1"/>
      <protection/>
    </xf>
    <xf numFmtId="169" fontId="115" fillId="0" borderId="25" xfId="100" applyNumberFormat="1" applyFont="1" applyBorder="1" applyAlignment="1">
      <alignment vertical="center" wrapText="1"/>
      <protection/>
    </xf>
    <xf numFmtId="169" fontId="45" fillId="0" borderId="99" xfId="100" applyNumberFormat="1" applyFont="1" applyBorder="1" applyAlignment="1" applyProtection="1">
      <alignment horizontal="left" vertical="center" wrapText="1" indent="1"/>
      <protection locked="0"/>
    </xf>
    <xf numFmtId="49" fontId="115" fillId="0" borderId="23" xfId="100" applyNumberFormat="1" applyFont="1" applyBorder="1" applyAlignment="1" applyProtection="1">
      <alignment horizontal="center" vertical="center" wrapText="1"/>
      <protection locked="0"/>
    </xf>
    <xf numFmtId="169" fontId="115" fillId="0" borderId="99" xfId="100" applyNumberFormat="1" applyFont="1" applyBorder="1" applyAlignment="1">
      <alignment vertical="center" wrapText="1"/>
      <protection/>
    </xf>
    <xf numFmtId="169" fontId="115" fillId="0" borderId="23" xfId="100" applyNumberFormat="1" applyFont="1" applyBorder="1" applyAlignment="1">
      <alignment vertical="center" wrapText="1"/>
      <protection/>
    </xf>
    <xf numFmtId="169" fontId="115" fillId="0" borderId="20" xfId="100" applyNumberFormat="1" applyFont="1" applyBorder="1" applyAlignment="1">
      <alignment vertical="center" wrapText="1"/>
      <protection/>
    </xf>
    <xf numFmtId="169" fontId="115" fillId="0" borderId="21" xfId="100" applyNumberFormat="1" applyFont="1" applyBorder="1" applyAlignment="1">
      <alignment vertical="center" wrapText="1"/>
      <protection/>
    </xf>
    <xf numFmtId="169" fontId="45" fillId="0" borderId="99" xfId="100" applyNumberFormat="1" applyFont="1" applyBorder="1" applyAlignment="1">
      <alignment vertical="center" wrapText="1"/>
      <protection/>
    </xf>
    <xf numFmtId="169" fontId="115" fillId="0" borderId="22" xfId="100" applyNumberFormat="1" applyFont="1" applyBorder="1" applyAlignment="1" applyProtection="1">
      <alignment vertical="center" wrapText="1"/>
      <protection locked="0"/>
    </xf>
    <xf numFmtId="169" fontId="115" fillId="0" borderId="30" xfId="100" applyNumberFormat="1" applyFont="1" applyBorder="1" applyAlignment="1" applyProtection="1">
      <alignment vertical="center" wrapText="1"/>
      <protection locked="0"/>
    </xf>
    <xf numFmtId="169" fontId="115" fillId="0" borderId="47" xfId="100" applyNumberFormat="1" applyFont="1" applyBorder="1" applyAlignment="1" applyProtection="1">
      <alignment vertical="center" wrapText="1"/>
      <protection locked="0"/>
    </xf>
    <xf numFmtId="169" fontId="45" fillId="0" borderId="98" xfId="100" applyNumberFormat="1" applyFont="1" applyBorder="1" applyAlignment="1" applyProtection="1">
      <alignment horizontal="left" vertical="center" wrapText="1" indent="1"/>
      <protection locked="0"/>
    </xf>
    <xf numFmtId="49" fontId="115" fillId="0" borderId="30" xfId="100" applyNumberFormat="1" applyFont="1" applyBorder="1" applyAlignment="1" applyProtection="1">
      <alignment horizontal="center" vertical="center" wrapText="1"/>
      <protection locked="0"/>
    </xf>
    <xf numFmtId="169" fontId="115" fillId="0" borderId="98" xfId="100" applyNumberFormat="1" applyFont="1" applyBorder="1" applyAlignment="1" applyProtection="1">
      <alignment vertical="center" wrapText="1"/>
      <protection locked="0"/>
    </xf>
    <xf numFmtId="169" fontId="115" fillId="0" borderId="98" xfId="100" applyNumberFormat="1" applyFont="1" applyFill="1" applyBorder="1" applyAlignment="1">
      <alignment vertical="center" wrapText="1"/>
      <protection/>
    </xf>
    <xf numFmtId="169" fontId="115" fillId="0" borderId="22" xfId="100" applyNumberFormat="1" applyFont="1" applyFill="1" applyBorder="1" applyAlignment="1">
      <alignment vertical="center" wrapText="1"/>
      <protection/>
    </xf>
    <xf numFmtId="169" fontId="115" fillId="0" borderId="30" xfId="100" applyNumberFormat="1" applyFont="1" applyFill="1" applyBorder="1" applyAlignment="1">
      <alignment vertical="center" wrapText="1"/>
      <protection/>
    </xf>
    <xf numFmtId="169" fontId="115" fillId="0" borderId="47" xfId="100" applyNumberFormat="1" applyFont="1" applyFill="1" applyBorder="1" applyAlignment="1">
      <alignment vertical="center" wrapText="1"/>
      <protection/>
    </xf>
    <xf numFmtId="169" fontId="45" fillId="0" borderId="78" xfId="100" applyNumberFormat="1" applyFont="1" applyFill="1" applyBorder="1" applyAlignment="1">
      <alignment vertical="center" wrapText="1"/>
      <protection/>
    </xf>
    <xf numFmtId="49" fontId="115" fillId="0" borderId="41" xfId="100" applyNumberFormat="1" applyFont="1" applyBorder="1" applyAlignment="1" applyProtection="1">
      <alignment horizontal="center" vertical="center" wrapText="1"/>
      <protection locked="0"/>
    </xf>
    <xf numFmtId="169" fontId="115" fillId="0" borderId="99" xfId="100" applyNumberFormat="1" applyFont="1" applyBorder="1" applyAlignment="1" applyProtection="1">
      <alignment vertical="center" wrapText="1"/>
      <protection locked="0"/>
    </xf>
    <xf numFmtId="169" fontId="115" fillId="0" borderId="23" xfId="100" applyNumberFormat="1" applyFont="1" applyBorder="1" applyAlignment="1" applyProtection="1">
      <alignment vertical="center" wrapText="1"/>
      <protection locked="0"/>
    </xf>
    <xf numFmtId="169" fontId="115" fillId="0" borderId="20" xfId="100" applyNumberFormat="1" applyFont="1" applyBorder="1" applyAlignment="1" applyProtection="1">
      <alignment vertical="center" wrapText="1"/>
      <protection locked="0"/>
    </xf>
    <xf numFmtId="169" fontId="115" fillId="0" borderId="21" xfId="100" applyNumberFormat="1" applyFont="1" applyBorder="1" applyAlignment="1" applyProtection="1">
      <alignment vertical="center" wrapText="1"/>
      <protection locked="0"/>
    </xf>
    <xf numFmtId="169" fontId="49" fillId="0" borderId="32" xfId="100" applyNumberFormat="1" applyFont="1" applyBorder="1" applyAlignment="1">
      <alignment horizontal="left" vertical="center" wrapText="1" indent="2"/>
      <protection/>
    </xf>
    <xf numFmtId="169" fontId="49" fillId="0" borderId="52" xfId="100" applyNumberFormat="1" applyFont="1" applyBorder="1" applyAlignment="1">
      <alignment horizontal="left" vertical="center" wrapText="1" indent="2"/>
      <protection/>
    </xf>
    <xf numFmtId="169" fontId="115" fillId="52" borderId="63" xfId="100" applyNumberFormat="1" applyFont="1" applyFill="1" applyBorder="1" applyAlignment="1">
      <alignment horizontal="left" vertical="center" wrapText="1" indent="2"/>
      <protection/>
    </xf>
  </cellXfs>
  <cellStyles count="11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2 2" xfId="71"/>
    <cellStyle name="Ezres 3" xfId="72"/>
    <cellStyle name="Figyelmeztetés" xfId="73"/>
    <cellStyle name="Good" xfId="74"/>
    <cellStyle name="Heading 1" xfId="75"/>
    <cellStyle name="Heading 2" xfId="76"/>
    <cellStyle name="Heading 3" xfId="77"/>
    <cellStyle name="Heading 4" xfId="78"/>
    <cellStyle name="Hiperhivatkozás" xfId="79"/>
    <cellStyle name="Hyperlink" xfId="80"/>
    <cellStyle name="Hivatkozott cella" xfId="81"/>
    <cellStyle name="Input" xfId="82"/>
    <cellStyle name="Jegyzet" xfId="83"/>
    <cellStyle name="Jelölőszín 1" xfId="84"/>
    <cellStyle name="Jelölőszín 2" xfId="85"/>
    <cellStyle name="Jelölőszín 3" xfId="86"/>
    <cellStyle name="Jelölőszín 4" xfId="87"/>
    <cellStyle name="Jelölőszín 5" xfId="88"/>
    <cellStyle name="Jelölőszín 6" xfId="89"/>
    <cellStyle name="Jó" xfId="90"/>
    <cellStyle name="Kimenet" xfId="91"/>
    <cellStyle name="Followed Hyperlink" xfId="92"/>
    <cellStyle name="Linked Cell" xfId="93"/>
    <cellStyle name="Magyarázó szöveg" xfId="94"/>
    <cellStyle name="Már látott hiperhivatkozás" xfId="95"/>
    <cellStyle name="Neutral" xfId="96"/>
    <cellStyle name="Normál 2" xfId="97"/>
    <cellStyle name="Normál 2 2" xfId="98"/>
    <cellStyle name="Normál 3" xfId="99"/>
    <cellStyle name="Normál 4" xfId="100"/>
    <cellStyle name="Normál 4 2" xfId="101"/>
    <cellStyle name="Normál 5" xfId="102"/>
    <cellStyle name="Normál 6" xfId="103"/>
    <cellStyle name="Normál 7" xfId="104"/>
    <cellStyle name="Normál_1_-_II_Tajekoztato_tablak" xfId="105"/>
    <cellStyle name="Normál_2007. év költségvetés terv 1.mellékletek" xfId="106"/>
    <cellStyle name="Normál_2008. év költségvetés terv 1. sz. melléklet" xfId="107"/>
    <cellStyle name="Normál_Dologi kiadás" xfId="108"/>
    <cellStyle name="Normál_KVRENMUNKA" xfId="109"/>
    <cellStyle name="Normál_SEGEDLETEK" xfId="110"/>
    <cellStyle name="Note" xfId="111"/>
    <cellStyle name="Output" xfId="112"/>
    <cellStyle name="Összesen" xfId="113"/>
    <cellStyle name="Currency" xfId="114"/>
    <cellStyle name="Currency [0]" xfId="115"/>
    <cellStyle name="Rossz" xfId="116"/>
    <cellStyle name="Semleges" xfId="117"/>
    <cellStyle name="Számítás" xfId="118"/>
    <cellStyle name="Percent" xfId="119"/>
    <cellStyle name="Százalék 2" xfId="120"/>
    <cellStyle name="Title" xfId="121"/>
    <cellStyle name="Total" xfId="122"/>
    <cellStyle name="Warning Text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i\2017\M&#225;solat%20eredetijeKVI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27">
        <row r="2">
          <cell r="E2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3"/>
  <sheetViews>
    <sheetView zoomScale="70" zoomScaleNormal="70" workbookViewId="0" topLeftCell="A45">
      <selection activeCell="I58" sqref="I58"/>
    </sheetView>
  </sheetViews>
  <sheetFormatPr defaultColWidth="9.140625" defaultRowHeight="12.75"/>
  <cols>
    <col min="1" max="2" width="5.7109375" style="55" customWidth="1"/>
    <col min="3" max="3" width="8.8515625" style="55" customWidth="1"/>
    <col min="4" max="4" width="61.7109375" style="12" customWidth="1"/>
    <col min="5" max="5" width="24.28125" style="267" customWidth="1"/>
    <col min="6" max="9" width="20.00390625" style="267" customWidth="1"/>
    <col min="10" max="10" width="20.00390625" style="267" hidden="1" customWidth="1"/>
    <col min="11" max="15" width="20.00390625" style="267" customWidth="1"/>
    <col min="16" max="17" width="20.00390625" style="267" hidden="1" customWidth="1"/>
    <col min="18" max="18" width="20.00390625" style="268" customWidth="1"/>
    <col min="19" max="21" width="20.00390625" style="267" customWidth="1"/>
    <col min="22" max="22" width="20.00390625" style="268" customWidth="1"/>
    <col min="23" max="23" width="20.00390625" style="268" hidden="1" customWidth="1"/>
    <col min="24" max="28" width="20.00390625" style="268" customWidth="1"/>
    <col min="29" max="30" width="20.00390625" style="268" hidden="1" customWidth="1"/>
    <col min="31" max="31" width="20.00390625" style="268" customWidth="1"/>
    <col min="32" max="16384" width="9.140625" style="268" customWidth="1"/>
  </cols>
  <sheetData>
    <row r="1" spans="1:28" ht="12.75">
      <c r="A1" s="52"/>
      <c r="B1" s="52"/>
      <c r="C1" s="52"/>
      <c r="D1" s="53"/>
      <c r="O1" s="1126" t="s">
        <v>605</v>
      </c>
      <c r="P1" s="1127"/>
      <c r="Q1" s="1127"/>
      <c r="R1" s="1127"/>
      <c r="S1" s="1127"/>
      <c r="T1" s="1127"/>
      <c r="U1" s="1127"/>
      <c r="V1" s="1127"/>
      <c r="W1" s="1127"/>
      <c r="X1" s="1127"/>
      <c r="Y1" s="1127"/>
      <c r="Z1" s="1127"/>
      <c r="AA1" s="1127"/>
      <c r="AB1" s="1127"/>
    </row>
    <row r="2" spans="1:19" ht="34.5" customHeight="1">
      <c r="A2" s="1137" t="s">
        <v>630</v>
      </c>
      <c r="B2" s="1137"/>
      <c r="C2" s="1137"/>
      <c r="D2" s="1137"/>
      <c r="E2" s="1137"/>
      <c r="F2" s="1137"/>
      <c r="G2" s="1137"/>
      <c r="H2" s="1137"/>
      <c r="I2" s="1137"/>
      <c r="J2" s="1137"/>
      <c r="K2" s="1137"/>
      <c r="L2" s="1137"/>
      <c r="M2" s="1137"/>
      <c r="N2" s="1137"/>
      <c r="O2" s="1137"/>
      <c r="P2" s="1137"/>
      <c r="Q2" s="1137"/>
      <c r="R2" s="1137"/>
      <c r="S2" s="198"/>
    </row>
    <row r="3" spans="1:18" ht="13.5" thickBot="1">
      <c r="A3" s="54"/>
      <c r="B3" s="54"/>
      <c r="C3" s="54"/>
      <c r="D3" s="50"/>
      <c r="K3" s="3"/>
      <c r="L3" s="3"/>
      <c r="M3" s="3"/>
      <c r="N3" s="3"/>
      <c r="O3" s="3"/>
      <c r="P3" s="3"/>
      <c r="Q3" s="3"/>
      <c r="R3" s="21" t="s">
        <v>446</v>
      </c>
    </row>
    <row r="4" spans="1:30" ht="45.75" customHeight="1" thickBot="1">
      <c r="A4" s="1138" t="s">
        <v>5</v>
      </c>
      <c r="B4" s="1139"/>
      <c r="C4" s="1139"/>
      <c r="D4" s="269" t="s">
        <v>8</v>
      </c>
      <c r="E4" s="1121" t="s">
        <v>4</v>
      </c>
      <c r="F4" s="1122"/>
      <c r="G4" s="1122"/>
      <c r="H4" s="1122"/>
      <c r="I4" s="1122"/>
      <c r="J4" s="1123"/>
      <c r="K4" s="1121" t="s">
        <v>60</v>
      </c>
      <c r="L4" s="1122"/>
      <c r="M4" s="1122"/>
      <c r="N4" s="1122"/>
      <c r="O4" s="1122"/>
      <c r="P4" s="1122"/>
      <c r="Q4" s="1123"/>
      <c r="R4" s="1121" t="s">
        <v>61</v>
      </c>
      <c r="S4" s="1122"/>
      <c r="T4" s="1122"/>
      <c r="U4" s="1122"/>
      <c r="V4" s="1122"/>
      <c r="W4" s="1123"/>
      <c r="X4" s="1121" t="s">
        <v>65</v>
      </c>
      <c r="Y4" s="1122"/>
      <c r="Z4" s="1122"/>
      <c r="AA4" s="1122"/>
      <c r="AB4" s="1122"/>
      <c r="AC4" s="1122"/>
      <c r="AD4" s="1123"/>
    </row>
    <row r="5" spans="1:29" ht="45.75" customHeight="1" thickBot="1">
      <c r="A5" s="256"/>
      <c r="B5" s="257"/>
      <c r="C5" s="257"/>
      <c r="D5" s="269"/>
      <c r="E5" s="299" t="s">
        <v>64</v>
      </c>
      <c r="F5" s="300" t="s">
        <v>225</v>
      </c>
      <c r="G5" s="300" t="s">
        <v>230</v>
      </c>
      <c r="H5" s="300" t="s">
        <v>232</v>
      </c>
      <c r="I5" s="300" t="s">
        <v>436</v>
      </c>
      <c r="J5" s="301" t="s">
        <v>440</v>
      </c>
      <c r="K5" s="299" t="s">
        <v>64</v>
      </c>
      <c r="L5" s="300" t="s">
        <v>225</v>
      </c>
      <c r="M5" s="300" t="s">
        <v>230</v>
      </c>
      <c r="N5" s="300" t="s">
        <v>232</v>
      </c>
      <c r="O5" s="300" t="s">
        <v>436</v>
      </c>
      <c r="P5" s="300" t="s">
        <v>440</v>
      </c>
      <c r="Q5" s="301" t="s">
        <v>433</v>
      </c>
      <c r="R5" s="299" t="s">
        <v>64</v>
      </c>
      <c r="S5" s="300" t="s">
        <v>225</v>
      </c>
      <c r="T5" s="300" t="s">
        <v>230</v>
      </c>
      <c r="U5" s="300" t="s">
        <v>232</v>
      </c>
      <c r="V5" s="300" t="s">
        <v>436</v>
      </c>
      <c r="W5" s="301" t="s">
        <v>440</v>
      </c>
      <c r="X5" s="299" t="s">
        <v>64</v>
      </c>
      <c r="Y5" s="300" t="s">
        <v>225</v>
      </c>
      <c r="Z5" s="300" t="s">
        <v>230</v>
      </c>
      <c r="AA5" s="300" t="s">
        <v>232</v>
      </c>
      <c r="AB5" s="300" t="s">
        <v>436</v>
      </c>
      <c r="AC5" s="301" t="s">
        <v>440</v>
      </c>
    </row>
    <row r="6" spans="1:29" s="6" customFormat="1" ht="21.75" customHeight="1" thickBot="1">
      <c r="A6" s="65"/>
      <c r="B6" s="1120"/>
      <c r="C6" s="1120"/>
      <c r="D6" s="1120"/>
      <c r="E6" s="302"/>
      <c r="F6" s="237"/>
      <c r="G6" s="237"/>
      <c r="H6" s="237"/>
      <c r="I6" s="237"/>
      <c r="J6" s="614"/>
      <c r="K6" s="302"/>
      <c r="L6" s="237"/>
      <c r="M6" s="237"/>
      <c r="N6" s="237"/>
      <c r="O6" s="237"/>
      <c r="P6" s="237"/>
      <c r="Q6" s="614"/>
      <c r="R6" s="302"/>
      <c r="S6" s="237"/>
      <c r="T6" s="237"/>
      <c r="U6" s="237"/>
      <c r="V6" s="237"/>
      <c r="W6" s="614"/>
      <c r="X6" s="302"/>
      <c r="Y6" s="237"/>
      <c r="Z6" s="237"/>
      <c r="AA6" s="237"/>
      <c r="AC6" s="614"/>
    </row>
    <row r="7" spans="1:31" s="6" customFormat="1" ht="21.75" customHeight="1" thickBot="1">
      <c r="A7" s="65" t="s">
        <v>26</v>
      </c>
      <c r="B7" s="1120" t="s">
        <v>281</v>
      </c>
      <c r="C7" s="1120"/>
      <c r="D7" s="1120"/>
      <c r="E7" s="302">
        <f aca="true" t="shared" si="0" ref="E7:P7">E8+E13+E16+E17+E20</f>
        <v>194460000</v>
      </c>
      <c r="F7" s="237">
        <f t="shared" si="0"/>
        <v>194672400</v>
      </c>
      <c r="G7" s="237">
        <f t="shared" si="0"/>
        <v>194672400</v>
      </c>
      <c r="H7" s="237">
        <f>H8+H13+H16+H17+H20</f>
        <v>194672400</v>
      </c>
      <c r="I7" s="237">
        <f t="shared" si="0"/>
        <v>231132621</v>
      </c>
      <c r="J7" s="237">
        <f t="shared" si="0"/>
        <v>0</v>
      </c>
      <c r="K7" s="302">
        <f t="shared" si="0"/>
        <v>165173226</v>
      </c>
      <c r="L7" s="302">
        <f>L8+L13+L16+L17+L20</f>
        <v>165385626</v>
      </c>
      <c r="M7" s="302">
        <f>M8+M13+M16+M17+M20</f>
        <v>165175626</v>
      </c>
      <c r="N7" s="302">
        <f>N8+N13+N16+N17+N20</f>
        <v>163445626</v>
      </c>
      <c r="O7" s="302">
        <f>O8+O13+O16+O17+O20</f>
        <v>203631553</v>
      </c>
      <c r="P7" s="237">
        <f t="shared" si="0"/>
        <v>-19769631</v>
      </c>
      <c r="Q7" s="615">
        <f>P7/N7</f>
        <v>-0.12095539956511286</v>
      </c>
      <c r="R7" s="302">
        <f>R8+R13+R16+R17+R20</f>
        <v>29286774</v>
      </c>
      <c r="S7" s="302">
        <f>S8+S13+S16+S17+S20</f>
        <v>29286774</v>
      </c>
      <c r="T7" s="302">
        <f>T8+T13+T16+T17+T20</f>
        <v>29496774</v>
      </c>
      <c r="U7" s="302">
        <f>U8+U13+U16+U17+U20</f>
        <v>31226774</v>
      </c>
      <c r="V7" s="302">
        <f>V8+V13+V16+V17+V20</f>
        <v>27501068</v>
      </c>
      <c r="W7" s="237">
        <f>W8+W13+W16+W17+W20</f>
        <v>19769631</v>
      </c>
      <c r="X7" s="302">
        <f aca="true" t="shared" si="1" ref="X7:AD7">X8+X13+X16+X17+X20</f>
        <v>6843890</v>
      </c>
      <c r="Y7" s="302">
        <f>Y8+Y13+Y16+Y17+Y20</f>
        <v>6843890</v>
      </c>
      <c r="Z7" s="302">
        <f>Z8+Z13+Z16+Z17+Z20</f>
        <v>6843890</v>
      </c>
      <c r="AA7" s="302">
        <f>AA8+AA13+AA16+AA17+AA20</f>
        <v>6843890</v>
      </c>
      <c r="AB7" s="302">
        <f>AB8+AB13+AB16+AB17+AB20</f>
        <v>6843890</v>
      </c>
      <c r="AC7" s="302">
        <f t="shared" si="1"/>
        <v>5610894</v>
      </c>
      <c r="AD7" s="302">
        <f t="shared" si="1"/>
        <v>5610894</v>
      </c>
      <c r="AE7" s="912"/>
    </row>
    <row r="8" spans="1:31" ht="21.75" customHeight="1">
      <c r="A8" s="503"/>
      <c r="B8" s="200" t="s">
        <v>35</v>
      </c>
      <c r="C8" s="1128" t="s">
        <v>282</v>
      </c>
      <c r="D8" s="1128"/>
      <c r="E8" s="363">
        <f aca="true" t="shared" si="2" ref="E8:P8">SUM(E9:E12)</f>
        <v>19500000</v>
      </c>
      <c r="F8" s="364">
        <f t="shared" si="2"/>
        <v>19500000</v>
      </c>
      <c r="G8" s="364">
        <f t="shared" si="2"/>
        <v>19500000</v>
      </c>
      <c r="H8" s="364">
        <f>SUM(H9:H12)</f>
        <v>19500000</v>
      </c>
      <c r="I8" s="364">
        <f t="shared" si="2"/>
        <v>19003963</v>
      </c>
      <c r="J8" s="364">
        <f t="shared" si="2"/>
        <v>0</v>
      </c>
      <c r="K8" s="363">
        <f t="shared" si="2"/>
        <v>19500000</v>
      </c>
      <c r="L8" s="363">
        <f>SUM(L9:L12)</f>
        <v>19500000</v>
      </c>
      <c r="M8" s="363">
        <f>SUM(M9:M12)</f>
        <v>19500000</v>
      </c>
      <c r="N8" s="363">
        <f>SUM(N9:N12)</f>
        <v>19500000</v>
      </c>
      <c r="O8" s="363">
        <f>SUM(O9:O12)</f>
        <v>19003963</v>
      </c>
      <c r="P8" s="364">
        <f t="shared" si="2"/>
        <v>0</v>
      </c>
      <c r="Q8" s="616">
        <f>P8/N8</f>
        <v>0</v>
      </c>
      <c r="R8" s="363">
        <v>0</v>
      </c>
      <c r="S8" s="363">
        <v>0</v>
      </c>
      <c r="T8" s="363">
        <v>0</v>
      </c>
      <c r="U8" s="363">
        <v>0</v>
      </c>
      <c r="V8" s="363">
        <v>0</v>
      </c>
      <c r="W8" s="364"/>
      <c r="X8" s="363">
        <v>0</v>
      </c>
      <c r="Y8" s="363">
        <v>0</v>
      </c>
      <c r="Z8" s="363">
        <v>0</v>
      </c>
      <c r="AA8" s="363">
        <v>0</v>
      </c>
      <c r="AB8" s="363">
        <v>0</v>
      </c>
      <c r="AC8" s="363">
        <v>0</v>
      </c>
      <c r="AD8" s="363">
        <v>0</v>
      </c>
      <c r="AE8" s="912"/>
    </row>
    <row r="9" spans="1:31" ht="21.75" customHeight="1">
      <c r="A9" s="62"/>
      <c r="B9" s="58"/>
      <c r="C9" s="58" t="s">
        <v>287</v>
      </c>
      <c r="D9" s="201" t="s">
        <v>283</v>
      </c>
      <c r="E9" s="304">
        <f>'3.sz.m Önk  bev.'!E9</f>
        <v>0</v>
      </c>
      <c r="F9" s="239">
        <f>'3.sz.m Önk  bev.'!F9</f>
        <v>0</v>
      </c>
      <c r="G9" s="239">
        <f>'3.sz.m Önk  bev.'!G9</f>
        <v>0</v>
      </c>
      <c r="H9" s="239">
        <f>'3.sz.m Önk  bev.'!H9</f>
        <v>0</v>
      </c>
      <c r="I9" s="239">
        <f>'3.sz.m Önk  bev.'!I9</f>
        <v>0</v>
      </c>
      <c r="J9" s="239">
        <f>'3.sz.m Önk  bev.'!J9</f>
        <v>0</v>
      </c>
      <c r="K9" s="304">
        <f>'3.sz.m Önk  bev.'!L9</f>
        <v>0</v>
      </c>
      <c r="L9" s="304">
        <f>'3.sz.m Önk  bev.'!M9</f>
        <v>0</v>
      </c>
      <c r="M9" s="304">
        <f>'3.sz.m Önk  bev.'!N9</f>
        <v>0</v>
      </c>
      <c r="N9" s="304">
        <f>'3.sz.m Önk  bev.'!O9</f>
        <v>0</v>
      </c>
      <c r="O9" s="304">
        <f>'3.sz.m Önk  bev.'!P9</f>
        <v>0</v>
      </c>
      <c r="P9" s="239">
        <f>'3.sz.m Önk  bev.'!Q9</f>
        <v>0</v>
      </c>
      <c r="Q9" s="617"/>
      <c r="R9" s="304">
        <v>0</v>
      </c>
      <c r="S9" s="304">
        <v>0</v>
      </c>
      <c r="T9" s="304">
        <v>0</v>
      </c>
      <c r="U9" s="304">
        <v>0</v>
      </c>
      <c r="V9" s="304">
        <v>0</v>
      </c>
      <c r="W9" s="239"/>
      <c r="X9" s="304">
        <v>0</v>
      </c>
      <c r="Y9" s="304">
        <v>0</v>
      </c>
      <c r="Z9" s="304">
        <v>0</v>
      </c>
      <c r="AA9" s="304">
        <v>0</v>
      </c>
      <c r="AB9" s="304">
        <v>0</v>
      </c>
      <c r="AC9" s="304">
        <v>0</v>
      </c>
      <c r="AD9" s="304">
        <v>0</v>
      </c>
      <c r="AE9" s="912"/>
    </row>
    <row r="10" spans="1:31" ht="21.75" customHeight="1">
      <c r="A10" s="62"/>
      <c r="B10" s="58"/>
      <c r="C10" s="58" t="s">
        <v>288</v>
      </c>
      <c r="D10" s="201" t="s">
        <v>268</v>
      </c>
      <c r="E10" s="304">
        <f>'3.sz.m Önk  bev.'!E10</f>
        <v>0</v>
      </c>
      <c r="F10" s="239">
        <f>'3.sz.m Önk  bev.'!F10</f>
        <v>0</v>
      </c>
      <c r="G10" s="239">
        <f>'3.sz.m Önk  bev.'!G10</f>
        <v>0</v>
      </c>
      <c r="H10" s="239">
        <f>'3.sz.m Önk  bev.'!H10</f>
        <v>0</v>
      </c>
      <c r="I10" s="239">
        <f>'3.sz.m Önk  bev.'!I10</f>
        <v>0</v>
      </c>
      <c r="J10" s="239">
        <f>'3.sz.m Önk  bev.'!J10</f>
        <v>0</v>
      </c>
      <c r="K10" s="304">
        <f>'3.sz.m Önk  bev.'!L10</f>
        <v>0</v>
      </c>
      <c r="L10" s="304">
        <f>'3.sz.m Önk  bev.'!M10</f>
        <v>0</v>
      </c>
      <c r="M10" s="304">
        <f>'3.sz.m Önk  bev.'!N10</f>
        <v>0</v>
      </c>
      <c r="N10" s="304">
        <f>'3.sz.m Önk  bev.'!O10</f>
        <v>0</v>
      </c>
      <c r="O10" s="304">
        <f>'3.sz.m Önk  bev.'!P10</f>
        <v>0</v>
      </c>
      <c r="P10" s="239">
        <f>'3.sz.m Önk  bev.'!Q10</f>
        <v>0</v>
      </c>
      <c r="Q10" s="617"/>
      <c r="R10" s="304">
        <v>0</v>
      </c>
      <c r="S10" s="304">
        <v>0</v>
      </c>
      <c r="T10" s="304">
        <v>0</v>
      </c>
      <c r="U10" s="304">
        <v>0</v>
      </c>
      <c r="V10" s="304">
        <v>0</v>
      </c>
      <c r="W10" s="239"/>
      <c r="X10" s="304">
        <v>0</v>
      </c>
      <c r="Y10" s="304">
        <v>0</v>
      </c>
      <c r="Z10" s="304">
        <v>0</v>
      </c>
      <c r="AA10" s="304">
        <v>0</v>
      </c>
      <c r="AB10" s="304">
        <v>0</v>
      </c>
      <c r="AC10" s="304">
        <v>0</v>
      </c>
      <c r="AD10" s="304">
        <v>0</v>
      </c>
      <c r="AE10" s="912"/>
    </row>
    <row r="11" spans="1:31" ht="21.75" customHeight="1">
      <c r="A11" s="62"/>
      <c r="B11" s="58"/>
      <c r="C11" s="58" t="s">
        <v>289</v>
      </c>
      <c r="D11" s="201" t="s">
        <v>267</v>
      </c>
      <c r="E11" s="304">
        <f>'3.sz.m Önk  bev.'!E11</f>
        <v>19500000</v>
      </c>
      <c r="F11" s="239">
        <f>'3.sz.m Önk  bev.'!F11</f>
        <v>19500000</v>
      </c>
      <c r="G11" s="239">
        <f>'3.sz.m Önk  bev.'!G11</f>
        <v>19500000</v>
      </c>
      <c r="H11" s="239">
        <f>'3.sz.m Önk  bev.'!H11</f>
        <v>19500000</v>
      </c>
      <c r="I11" s="239">
        <f>'3.sz.m Önk  bev.'!I11</f>
        <v>19003963</v>
      </c>
      <c r="J11" s="239">
        <f>'3.sz.m Önk  bev.'!J11</f>
        <v>0</v>
      </c>
      <c r="K11" s="304">
        <f>'3.sz.m Önk  bev.'!L11</f>
        <v>19500000</v>
      </c>
      <c r="L11" s="304">
        <f>'3.sz.m Önk  bev.'!M11</f>
        <v>19500000</v>
      </c>
      <c r="M11" s="304">
        <f>'3.sz.m Önk  bev.'!N11</f>
        <v>19500000</v>
      </c>
      <c r="N11" s="304">
        <f>'3.sz.m Önk  bev.'!O11</f>
        <v>19500000</v>
      </c>
      <c r="O11" s="304">
        <f>'3.sz.m Önk  bev.'!P11</f>
        <v>19003963</v>
      </c>
      <c r="P11" s="239">
        <f>'3.sz.m Önk  bev.'!Q11</f>
        <v>0</v>
      </c>
      <c r="Q11" s="617">
        <f>P11/N11</f>
        <v>0</v>
      </c>
      <c r="R11" s="304">
        <v>0</v>
      </c>
      <c r="S11" s="304">
        <v>0</v>
      </c>
      <c r="T11" s="304">
        <v>0</v>
      </c>
      <c r="U11" s="304">
        <v>0</v>
      </c>
      <c r="V11" s="304">
        <v>0</v>
      </c>
      <c r="W11" s="239"/>
      <c r="X11" s="304">
        <v>0</v>
      </c>
      <c r="Y11" s="304">
        <v>0</v>
      </c>
      <c r="Z11" s="304">
        <v>0</v>
      </c>
      <c r="AA11" s="304">
        <v>0</v>
      </c>
      <c r="AB11" s="304">
        <v>0</v>
      </c>
      <c r="AC11" s="304">
        <v>0</v>
      </c>
      <c r="AD11" s="304">
        <v>0</v>
      </c>
      <c r="AE11" s="912"/>
    </row>
    <row r="12" spans="1:33" ht="21.75" customHeight="1" hidden="1">
      <c r="A12" s="62"/>
      <c r="B12" s="58"/>
      <c r="C12" s="58"/>
      <c r="D12" s="201"/>
      <c r="E12" s="304"/>
      <c r="F12" s="239"/>
      <c r="G12" s="239"/>
      <c r="H12" s="239"/>
      <c r="I12" s="239"/>
      <c r="J12" s="239"/>
      <c r="K12" s="304"/>
      <c r="L12" s="304"/>
      <c r="M12" s="304"/>
      <c r="N12" s="304"/>
      <c r="O12" s="304"/>
      <c r="P12" s="239"/>
      <c r="Q12" s="617" t="e">
        <f>P12/N12</f>
        <v>#DIV/0!</v>
      </c>
      <c r="R12" s="304"/>
      <c r="S12" s="304"/>
      <c r="T12" s="304"/>
      <c r="U12" s="304"/>
      <c r="V12" s="304"/>
      <c r="W12" s="239"/>
      <c r="X12" s="304"/>
      <c r="Y12" s="304"/>
      <c r="Z12" s="304"/>
      <c r="AA12" s="304"/>
      <c r="AB12" s="304"/>
      <c r="AC12" s="304"/>
      <c r="AD12" s="304"/>
      <c r="AE12" s="912"/>
      <c r="AG12" s="268" t="s">
        <v>241</v>
      </c>
    </row>
    <row r="13" spans="1:31" ht="21.75" customHeight="1">
      <c r="A13" s="62"/>
      <c r="B13" s="58" t="s">
        <v>36</v>
      </c>
      <c r="C13" s="1132" t="s">
        <v>284</v>
      </c>
      <c r="D13" s="1132"/>
      <c r="E13" s="304">
        <f aca="true" t="shared" si="3" ref="E13:X13">SUM(E14:E15)</f>
        <v>160000000</v>
      </c>
      <c r="F13" s="239">
        <f t="shared" si="3"/>
        <v>160000000</v>
      </c>
      <c r="G13" s="239">
        <f t="shared" si="3"/>
        <v>160000000</v>
      </c>
      <c r="H13" s="239">
        <f>SUM(H14:H15)</f>
        <v>160000000</v>
      </c>
      <c r="I13" s="239">
        <f t="shared" si="3"/>
        <v>194946510</v>
      </c>
      <c r="J13" s="239">
        <f t="shared" si="3"/>
        <v>0</v>
      </c>
      <c r="K13" s="304">
        <f t="shared" si="3"/>
        <v>130713226</v>
      </c>
      <c r="L13" s="304">
        <f>SUM(L14:L15)</f>
        <v>130713226</v>
      </c>
      <c r="M13" s="304">
        <f>SUM(M14:M15)</f>
        <v>130503226</v>
      </c>
      <c r="N13" s="304">
        <f>SUM(N14:N15)</f>
        <v>128773226</v>
      </c>
      <c r="O13" s="304">
        <f>SUM(O14:O15)</f>
        <v>167445442</v>
      </c>
      <c r="P13" s="804">
        <f t="shared" si="3"/>
        <v>-19769631</v>
      </c>
      <c r="Q13" s="304">
        <f t="shared" si="3"/>
        <v>-0.15352283711522455</v>
      </c>
      <c r="R13" s="304">
        <f t="shared" si="3"/>
        <v>29286774</v>
      </c>
      <c r="S13" s="304">
        <f>SUM(S14:S15)</f>
        <v>29286774</v>
      </c>
      <c r="T13" s="304">
        <f>SUM(T14:T15)</f>
        <v>29496774</v>
      </c>
      <c r="U13" s="304">
        <f>SUM(U14:U15)</f>
        <v>31226774</v>
      </c>
      <c r="V13" s="304">
        <f>SUM(V14:V15)</f>
        <v>27501068</v>
      </c>
      <c r="W13" s="239">
        <f t="shared" si="3"/>
        <v>19769631</v>
      </c>
      <c r="X13" s="304">
        <f t="shared" si="3"/>
        <v>6843890</v>
      </c>
      <c r="Y13" s="304">
        <f aca="true" t="shared" si="4" ref="Y13:AD13">SUM(Y14:Y15)</f>
        <v>6843890</v>
      </c>
      <c r="Z13" s="304">
        <f>SUM(Z14:Z15)</f>
        <v>6843890</v>
      </c>
      <c r="AA13" s="304">
        <f>SUM(AA14:AA15)</f>
        <v>6843890</v>
      </c>
      <c r="AB13" s="304">
        <f>SUM(AB14:AB15)</f>
        <v>6843890</v>
      </c>
      <c r="AC13" s="304">
        <f t="shared" si="4"/>
        <v>5610894</v>
      </c>
      <c r="AD13" s="304">
        <f t="shared" si="4"/>
        <v>5610894</v>
      </c>
      <c r="AE13" s="912"/>
    </row>
    <row r="14" spans="1:31" ht="21.75" customHeight="1">
      <c r="A14" s="62"/>
      <c r="B14" s="58"/>
      <c r="C14" s="58" t="s">
        <v>285</v>
      </c>
      <c r="D14" s="452" t="s">
        <v>290</v>
      </c>
      <c r="E14" s="304">
        <f>'3.sz.m Önk  bev.'!E14</f>
        <v>160000000</v>
      </c>
      <c r="F14" s="239">
        <f>'3.sz.m Önk  bev.'!F14</f>
        <v>160000000</v>
      </c>
      <c r="G14" s="239">
        <f>'3.sz.m Önk  bev.'!G14</f>
        <v>160000000</v>
      </c>
      <c r="H14" s="239">
        <f>'3.sz.m Önk  bev.'!H14</f>
        <v>160000000</v>
      </c>
      <c r="I14" s="239">
        <f>'3.sz.m Önk  bev.'!I14</f>
        <v>194946510</v>
      </c>
      <c r="J14" s="239">
        <f>'3.sz.m Önk  bev.'!J14</f>
        <v>0</v>
      </c>
      <c r="K14" s="304">
        <f>'3.sz.m Önk  bev.'!L14</f>
        <v>130713226</v>
      </c>
      <c r="L14" s="304">
        <f>'3.sz.m Önk  bev.'!M14</f>
        <v>130713226</v>
      </c>
      <c r="M14" s="304">
        <f>'3.sz.m Önk  bev.'!N14</f>
        <v>130503226</v>
      </c>
      <c r="N14" s="304">
        <f>'3.sz.m Önk  bev.'!O14</f>
        <v>128773226</v>
      </c>
      <c r="O14" s="304">
        <f>'3.sz.m Önk  bev.'!P14</f>
        <v>167445442</v>
      </c>
      <c r="P14" s="239">
        <f>'3.sz.m Önk  bev.'!Q14</f>
        <v>-19769631</v>
      </c>
      <c r="Q14" s="617">
        <f>P14/N14</f>
        <v>-0.15352283711522455</v>
      </c>
      <c r="R14" s="304">
        <f>'3.sz.m Önk  bev.'!S14</f>
        <v>29286774</v>
      </c>
      <c r="S14" s="304">
        <f>'3.sz.m Önk  bev.'!T14</f>
        <v>29286774</v>
      </c>
      <c r="T14" s="304">
        <f>'3.sz.m Önk  bev.'!U14</f>
        <v>29496774</v>
      </c>
      <c r="U14" s="304">
        <f>'3.sz.m Önk  bev.'!V14</f>
        <v>31226774</v>
      </c>
      <c r="V14" s="304">
        <f>'3.sz.m Önk  bev.'!W14</f>
        <v>27501068</v>
      </c>
      <c r="W14" s="239">
        <f>'3.sz.m Önk  bev.'!X14</f>
        <v>19769631</v>
      </c>
      <c r="X14" s="870">
        <f>+'1 .sz.m.önk.össz.kiad.'!X36</f>
        <v>6843890</v>
      </c>
      <c r="Y14" s="870">
        <f>+'1 .sz.m.önk.össz.kiad.'!Y36</f>
        <v>6843890</v>
      </c>
      <c r="Z14" s="870">
        <f>+'1 .sz.m.önk.össz.kiad.'!Z36</f>
        <v>6843890</v>
      </c>
      <c r="AA14" s="870">
        <f>+'1 .sz.m.önk.össz.kiad.'!AA36</f>
        <v>6843890</v>
      </c>
      <c r="AB14" s="870">
        <f>+'1 .sz.m.önk.össz.kiad.'!AB36</f>
        <v>6843890</v>
      </c>
      <c r="AC14" s="304">
        <v>5610894</v>
      </c>
      <c r="AD14" s="304">
        <v>5610894</v>
      </c>
      <c r="AE14" s="912"/>
    </row>
    <row r="15" spans="1:31" ht="21.75" customHeight="1">
      <c r="A15" s="62"/>
      <c r="B15" s="58"/>
      <c r="C15" s="58" t="s">
        <v>286</v>
      </c>
      <c r="D15" s="452" t="s">
        <v>291</v>
      </c>
      <c r="E15" s="304">
        <f>'3.sz.m Önk  bev.'!E15</f>
        <v>0</v>
      </c>
      <c r="F15" s="239">
        <f>'3.sz.m Önk  bev.'!F15</f>
        <v>0</v>
      </c>
      <c r="G15" s="239">
        <f>'3.sz.m Önk  bev.'!G15</f>
        <v>0</v>
      </c>
      <c r="H15" s="239">
        <f>'3.sz.m Önk  bev.'!H15</f>
        <v>0</v>
      </c>
      <c r="I15" s="239">
        <f>'3.sz.m Önk  bev.'!I15</f>
        <v>0</v>
      </c>
      <c r="J15" s="239">
        <f>'3.sz.m Önk  bev.'!J15</f>
        <v>0</v>
      </c>
      <c r="K15" s="304">
        <f>'3.sz.m Önk  bev.'!L15</f>
        <v>0</v>
      </c>
      <c r="L15" s="304">
        <f>'3.sz.m Önk  bev.'!M15</f>
        <v>0</v>
      </c>
      <c r="M15" s="304">
        <f>'3.sz.m Önk  bev.'!N15</f>
        <v>0</v>
      </c>
      <c r="N15" s="304">
        <f>'3.sz.m Önk  bev.'!O15</f>
        <v>0</v>
      </c>
      <c r="O15" s="304">
        <f>'3.sz.m Önk  bev.'!P15</f>
        <v>0</v>
      </c>
      <c r="P15" s="239">
        <f>'3.sz.m Önk  bev.'!Q15</f>
        <v>0</v>
      </c>
      <c r="Q15" s="617"/>
      <c r="R15" s="304">
        <v>0</v>
      </c>
      <c r="S15" s="304">
        <v>0</v>
      </c>
      <c r="T15" s="304">
        <v>0</v>
      </c>
      <c r="U15" s="304">
        <v>0</v>
      </c>
      <c r="V15" s="304">
        <v>0</v>
      </c>
      <c r="W15" s="239"/>
      <c r="X15" s="304">
        <v>0</v>
      </c>
      <c r="Y15" s="304">
        <v>0</v>
      </c>
      <c r="Z15" s="304">
        <v>0</v>
      </c>
      <c r="AA15" s="304">
        <v>0</v>
      </c>
      <c r="AB15" s="304">
        <v>0</v>
      </c>
      <c r="AC15" s="304">
        <v>0</v>
      </c>
      <c r="AD15" s="304">
        <v>0</v>
      </c>
      <c r="AE15" s="912"/>
    </row>
    <row r="16" spans="1:31" ht="21.75" customHeight="1">
      <c r="A16" s="62"/>
      <c r="B16" s="58" t="s">
        <v>112</v>
      </c>
      <c r="C16" s="1132" t="s">
        <v>292</v>
      </c>
      <c r="D16" s="1132"/>
      <c r="E16" s="304">
        <f>'3.sz.m Önk  bev.'!E16</f>
        <v>13900000</v>
      </c>
      <c r="F16" s="239">
        <f>'3.sz.m Önk  bev.'!F16</f>
        <v>13900000</v>
      </c>
      <c r="G16" s="239">
        <f>'3.sz.m Önk  bev.'!G16</f>
        <v>13900000</v>
      </c>
      <c r="H16" s="239">
        <f>'3.sz.m Önk  bev.'!H16</f>
        <v>13900000</v>
      </c>
      <c r="I16" s="239">
        <f>'3.sz.m Önk  bev.'!I16</f>
        <v>13973435</v>
      </c>
      <c r="J16" s="239">
        <f>'3.sz.m Önk  bev.'!J16</f>
        <v>0</v>
      </c>
      <c r="K16" s="304">
        <f>'3.sz.m Önk  bev.'!L16</f>
        <v>13900000</v>
      </c>
      <c r="L16" s="304">
        <f>'3.sz.m Önk  bev.'!M16</f>
        <v>13900000</v>
      </c>
      <c r="M16" s="304">
        <f>'3.sz.m Önk  bev.'!N16</f>
        <v>13900000</v>
      </c>
      <c r="N16" s="304">
        <f>'3.sz.m Önk  bev.'!O16</f>
        <v>13900000</v>
      </c>
      <c r="O16" s="304">
        <f>'3.sz.m Önk  bev.'!P16</f>
        <v>13973435</v>
      </c>
      <c r="P16" s="239">
        <f>'3.sz.m Önk  bev.'!Q16</f>
        <v>0</v>
      </c>
      <c r="Q16" s="618">
        <f>P16/N16</f>
        <v>0</v>
      </c>
      <c r="R16" s="304">
        <v>0</v>
      </c>
      <c r="S16" s="304">
        <v>0</v>
      </c>
      <c r="T16" s="304">
        <v>0</v>
      </c>
      <c r="U16" s="304">
        <v>0</v>
      </c>
      <c r="V16" s="304">
        <v>0</v>
      </c>
      <c r="W16" s="239"/>
      <c r="X16" s="304">
        <v>0</v>
      </c>
      <c r="Y16" s="304">
        <v>0</v>
      </c>
      <c r="Z16" s="304">
        <v>0</v>
      </c>
      <c r="AA16" s="304">
        <v>0</v>
      </c>
      <c r="AB16" s="304">
        <v>0</v>
      </c>
      <c r="AC16" s="304">
        <v>0</v>
      </c>
      <c r="AD16" s="304">
        <v>0</v>
      </c>
      <c r="AE16" s="912"/>
    </row>
    <row r="17" spans="1:31" ht="21.75" customHeight="1">
      <c r="A17" s="62"/>
      <c r="B17" s="58" t="s">
        <v>48</v>
      </c>
      <c r="C17" s="1133" t="s">
        <v>293</v>
      </c>
      <c r="D17" s="1134"/>
      <c r="E17" s="304">
        <f aca="true" t="shared" si="5" ref="E17:P17">SUM(E18:E19)</f>
        <v>0</v>
      </c>
      <c r="F17" s="239">
        <f t="shared" si="5"/>
        <v>0</v>
      </c>
      <c r="G17" s="239">
        <f t="shared" si="5"/>
        <v>0</v>
      </c>
      <c r="H17" s="239">
        <f>SUM(H18:H19)</f>
        <v>0</v>
      </c>
      <c r="I17" s="239">
        <f t="shared" si="5"/>
        <v>0</v>
      </c>
      <c r="J17" s="239">
        <f t="shared" si="5"/>
        <v>0</v>
      </c>
      <c r="K17" s="304">
        <f t="shared" si="5"/>
        <v>0</v>
      </c>
      <c r="L17" s="304">
        <f>SUM(L18:L19)</f>
        <v>0</v>
      </c>
      <c r="M17" s="304">
        <f>SUM(M18:M19)</f>
        <v>0</v>
      </c>
      <c r="N17" s="304">
        <f>SUM(N18:N19)</f>
        <v>0</v>
      </c>
      <c r="O17" s="304">
        <f>SUM(O18:O19)</f>
        <v>0</v>
      </c>
      <c r="P17" s="239">
        <f t="shared" si="5"/>
        <v>0</v>
      </c>
      <c r="Q17" s="618" t="e">
        <f>P17/N17</f>
        <v>#DIV/0!</v>
      </c>
      <c r="R17" s="304">
        <v>0</v>
      </c>
      <c r="S17" s="304">
        <v>0</v>
      </c>
      <c r="T17" s="304">
        <v>0</v>
      </c>
      <c r="U17" s="304">
        <v>0</v>
      </c>
      <c r="V17" s="304">
        <v>0</v>
      </c>
      <c r="W17" s="239"/>
      <c r="X17" s="304">
        <v>0</v>
      </c>
      <c r="Y17" s="304">
        <v>0</v>
      </c>
      <c r="Z17" s="304">
        <v>0</v>
      </c>
      <c r="AA17" s="304">
        <v>0</v>
      </c>
      <c r="AB17" s="304">
        <v>0</v>
      </c>
      <c r="AC17" s="304">
        <v>0</v>
      </c>
      <c r="AD17" s="304">
        <v>0</v>
      </c>
      <c r="AE17" s="912"/>
    </row>
    <row r="18" spans="1:31" ht="21.75" customHeight="1">
      <c r="A18" s="62"/>
      <c r="B18" s="58"/>
      <c r="C18" s="58" t="s">
        <v>294</v>
      </c>
      <c r="D18" s="452" t="s">
        <v>296</v>
      </c>
      <c r="E18" s="304">
        <f>'3.sz.m Önk  bev.'!E18</f>
        <v>0</v>
      </c>
      <c r="F18" s="239">
        <f>'3.sz.m Önk  bev.'!F18</f>
        <v>0</v>
      </c>
      <c r="G18" s="239">
        <f>'3.sz.m Önk  bev.'!G18</f>
        <v>0</v>
      </c>
      <c r="H18" s="239">
        <f>'3.sz.m Önk  bev.'!H18</f>
        <v>0</v>
      </c>
      <c r="I18" s="239">
        <f>'3.sz.m Önk  bev.'!I18</f>
        <v>0</v>
      </c>
      <c r="J18" s="239">
        <f>'3.sz.m Önk  bev.'!J18</f>
        <v>0</v>
      </c>
      <c r="K18" s="304">
        <f>'3.sz.m Önk  bev.'!L18</f>
        <v>0</v>
      </c>
      <c r="L18" s="304">
        <f>'3.sz.m Önk  bev.'!M18</f>
        <v>0</v>
      </c>
      <c r="M18" s="304">
        <f>'3.sz.m Önk  bev.'!N18</f>
        <v>0</v>
      </c>
      <c r="N18" s="304">
        <f>'3.sz.m Önk  bev.'!O18</f>
        <v>0</v>
      </c>
      <c r="O18" s="304">
        <f>'3.sz.m Önk  bev.'!P18</f>
        <v>0</v>
      </c>
      <c r="P18" s="239">
        <f>'3.sz.m Önk  bev.'!Q18</f>
        <v>0</v>
      </c>
      <c r="Q18" s="618"/>
      <c r="R18" s="304">
        <v>0</v>
      </c>
      <c r="S18" s="304">
        <v>0</v>
      </c>
      <c r="T18" s="304">
        <v>0</v>
      </c>
      <c r="U18" s="304">
        <v>0</v>
      </c>
      <c r="V18" s="304">
        <v>0</v>
      </c>
      <c r="W18" s="239"/>
      <c r="X18" s="304">
        <v>0</v>
      </c>
      <c r="Y18" s="304">
        <v>0</v>
      </c>
      <c r="Z18" s="304">
        <v>0</v>
      </c>
      <c r="AA18" s="304">
        <v>0</v>
      </c>
      <c r="AB18" s="304">
        <v>0</v>
      </c>
      <c r="AC18" s="304">
        <v>0</v>
      </c>
      <c r="AD18" s="304">
        <v>0</v>
      </c>
      <c r="AE18" s="912"/>
    </row>
    <row r="19" spans="1:31" ht="21.75" customHeight="1" hidden="1">
      <c r="A19" s="62"/>
      <c r="B19" s="58"/>
      <c r="C19" s="58" t="s">
        <v>295</v>
      </c>
      <c r="D19" s="452" t="s">
        <v>269</v>
      </c>
      <c r="E19" s="304">
        <f>'3.sz.m Önk  bev.'!E19</f>
        <v>0</v>
      </c>
      <c r="F19" s="239">
        <f>'3.sz.m Önk  bev.'!F19</f>
        <v>0</v>
      </c>
      <c r="G19" s="239">
        <f>'3.sz.m Önk  bev.'!G19</f>
        <v>0</v>
      </c>
      <c r="H19" s="239">
        <f>'3.sz.m Önk  bev.'!H19</f>
        <v>0</v>
      </c>
      <c r="I19" s="239">
        <f>'3.sz.m Önk  bev.'!I19</f>
        <v>0</v>
      </c>
      <c r="J19" s="239">
        <f>'3.sz.m Önk  bev.'!J19</f>
        <v>0</v>
      </c>
      <c r="K19" s="304">
        <f>'3.sz.m Önk  bev.'!L19</f>
        <v>0</v>
      </c>
      <c r="L19" s="304">
        <f>'3.sz.m Önk  bev.'!M19</f>
        <v>0</v>
      </c>
      <c r="M19" s="304">
        <f>'3.sz.m Önk  bev.'!N19</f>
        <v>0</v>
      </c>
      <c r="N19" s="304">
        <f>'3.sz.m Önk  bev.'!O19</f>
        <v>0</v>
      </c>
      <c r="O19" s="304">
        <f>'3.sz.m Önk  bev.'!P19</f>
        <v>0</v>
      </c>
      <c r="P19" s="239">
        <f>'3.sz.m Önk  bev.'!Q19</f>
        <v>0</v>
      </c>
      <c r="Q19" s="618" t="e">
        <f>P19/N19</f>
        <v>#DIV/0!</v>
      </c>
      <c r="R19" s="304">
        <v>0</v>
      </c>
      <c r="S19" s="304">
        <v>0</v>
      </c>
      <c r="T19" s="304">
        <v>0</v>
      </c>
      <c r="U19" s="304">
        <v>0</v>
      </c>
      <c r="V19" s="304">
        <v>0</v>
      </c>
      <c r="W19" s="239"/>
      <c r="X19" s="304">
        <v>0</v>
      </c>
      <c r="Y19" s="304">
        <v>0</v>
      </c>
      <c r="Z19" s="304">
        <v>0</v>
      </c>
      <c r="AA19" s="304">
        <v>0</v>
      </c>
      <c r="AB19" s="304">
        <v>0</v>
      </c>
      <c r="AC19" s="304">
        <v>0</v>
      </c>
      <c r="AD19" s="304">
        <v>0</v>
      </c>
      <c r="AE19" s="912"/>
    </row>
    <row r="20" spans="1:31" ht="21.75" customHeight="1" thickBot="1">
      <c r="A20" s="365"/>
      <c r="B20" s="504" t="s">
        <v>49</v>
      </c>
      <c r="C20" s="1135" t="s">
        <v>297</v>
      </c>
      <c r="D20" s="1136"/>
      <c r="E20" s="304">
        <f>'3.sz.m Önk  bev.'!E20</f>
        <v>1060000</v>
      </c>
      <c r="F20" s="239">
        <f>'3.sz.m Önk  bev.'!F20</f>
        <v>1272400</v>
      </c>
      <c r="G20" s="239">
        <f>'3.sz.m Önk  bev.'!G20</f>
        <v>1272400</v>
      </c>
      <c r="H20" s="239">
        <f>'3.sz.m Önk  bev.'!H20</f>
        <v>1272400</v>
      </c>
      <c r="I20" s="239">
        <f>'3.sz.m Önk  bev.'!I20</f>
        <v>3208713</v>
      </c>
      <c r="J20" s="239">
        <f>'3.sz.m Önk  bev.'!J20</f>
        <v>0</v>
      </c>
      <c r="K20" s="304">
        <f>'3.sz.m Önk  bev.'!L20</f>
        <v>1060000</v>
      </c>
      <c r="L20" s="304">
        <f>'3.sz.m Önk  bev.'!M20</f>
        <v>1272400</v>
      </c>
      <c r="M20" s="304">
        <f>'3.sz.m Önk  bev.'!N20</f>
        <v>1272400</v>
      </c>
      <c r="N20" s="304">
        <f>'3.sz.m Önk  bev.'!O20</f>
        <v>1272400</v>
      </c>
      <c r="O20" s="304">
        <f>'3.sz.m Önk  bev.'!P20</f>
        <v>3208713</v>
      </c>
      <c r="P20" s="239">
        <f>'3.sz.m Önk  bev.'!Q20</f>
        <v>0</v>
      </c>
      <c r="Q20" s="619">
        <f>P20/N20</f>
        <v>0</v>
      </c>
      <c r="R20" s="304">
        <v>0</v>
      </c>
      <c r="S20" s="304">
        <v>0</v>
      </c>
      <c r="T20" s="304">
        <v>0</v>
      </c>
      <c r="U20" s="304">
        <v>0</v>
      </c>
      <c r="V20" s="304">
        <v>0</v>
      </c>
      <c r="W20" s="239"/>
      <c r="X20" s="304">
        <v>0</v>
      </c>
      <c r="Y20" s="304">
        <v>0</v>
      </c>
      <c r="Z20" s="304">
        <v>0</v>
      </c>
      <c r="AA20" s="304">
        <v>0</v>
      </c>
      <c r="AB20" s="304">
        <v>0</v>
      </c>
      <c r="AC20" s="304">
        <v>0</v>
      </c>
      <c r="AD20" s="304">
        <v>0</v>
      </c>
      <c r="AE20" s="912"/>
    </row>
    <row r="21" spans="1:31" ht="21.75" customHeight="1" thickBot="1">
      <c r="A21" s="65" t="s">
        <v>298</v>
      </c>
      <c r="B21" s="1120" t="s">
        <v>299</v>
      </c>
      <c r="C21" s="1120"/>
      <c r="D21" s="1120"/>
      <c r="E21" s="302">
        <f>E22+E23+E25+E29+E30+E31+E32+E24</f>
        <v>72113054</v>
      </c>
      <c r="F21" s="302">
        <f>F22+F23+F25+F29+F30+F31+F32+F24</f>
        <v>66248820</v>
      </c>
      <c r="G21" s="302">
        <f>G22+G23+G25+G29+G30+G31+G32+G24</f>
        <v>63049091</v>
      </c>
      <c r="H21" s="302">
        <f>H22+H23+H25+H29+H30+H31+H32+H24</f>
        <v>75868670</v>
      </c>
      <c r="I21" s="302">
        <f>I22+I23+I25+I29+I30+I31+I32+I24+I33</f>
        <v>71492628</v>
      </c>
      <c r="J21" s="302">
        <f>J22+J23+J25+J29+J30+J31+J32+J24+J33</f>
        <v>0</v>
      </c>
      <c r="K21" s="302">
        <f>K22+K23+K25+K29+K30+K31+K32+K24</f>
        <v>71732054</v>
      </c>
      <c r="L21" s="302">
        <f>L22+L23+L25+L29+L30+L31+L32+L24</f>
        <v>65867820</v>
      </c>
      <c r="M21" s="302">
        <f>M22+M23+M25+M29+M30+M31+M32+M24</f>
        <v>62668091</v>
      </c>
      <c r="N21" s="302">
        <f>N22+N23+N25+N29+N30+N31+N32+N24</f>
        <v>75487670</v>
      </c>
      <c r="O21" s="302">
        <f>O22+O23+O25+O29+O30+O31+O32+O24</f>
        <v>71295016</v>
      </c>
      <c r="P21" s="858">
        <f>+P22+P23+P24+P25+P29+P31+P32+P33</f>
        <v>-381000</v>
      </c>
      <c r="Q21" s="302">
        <f>Q22+Q23+Q25+Q29+Q30+Q31+Q32+Q24</f>
        <v>2</v>
      </c>
      <c r="R21" s="302">
        <f>R22+R23+R25+R29+R30+R31+R32</f>
        <v>381000</v>
      </c>
      <c r="S21" s="302">
        <f>S22+S23+S25+S29+S30+S31+S32</f>
        <v>381000</v>
      </c>
      <c r="T21" s="302">
        <f>T22+T23+T25+T29+T30+T31+T32</f>
        <v>381000</v>
      </c>
      <c r="U21" s="302">
        <f>U22+U23+U25+U29+U30+U31+U32</f>
        <v>381000</v>
      </c>
      <c r="V21" s="302">
        <f>V22+V23+V25+V29+V30+V31+V32</f>
        <v>197612</v>
      </c>
      <c r="W21" s="237">
        <f>W22+W23+W25+W29+W30+W31+W32</f>
        <v>381000</v>
      </c>
      <c r="X21" s="302">
        <f aca="true" t="shared" si="6" ref="X21:AD21">X22+X23+X25+X29+X30+X31+X32</f>
        <v>0</v>
      </c>
      <c r="Y21" s="302">
        <f>Y22+Y23+Y25+Y29+Y30+Y31+Y32</f>
        <v>0</v>
      </c>
      <c r="Z21" s="302">
        <f>Z22+Z23+Z25+Z29+Z30+Z31+Z32</f>
        <v>0</v>
      </c>
      <c r="AA21" s="302">
        <f>AA22+AA23+AA25+AA29+AA30+AA31+AA32</f>
        <v>0</v>
      </c>
      <c r="AB21" s="302">
        <f>AB22+AB23+AB25+AB29+AB30+AB31+AB32</f>
        <v>0</v>
      </c>
      <c r="AC21" s="302">
        <f t="shared" si="6"/>
        <v>0</v>
      </c>
      <c r="AD21" s="302">
        <f t="shared" si="6"/>
        <v>0</v>
      </c>
      <c r="AE21" s="912"/>
    </row>
    <row r="22" spans="1:31" ht="21.75" customHeight="1">
      <c r="A22" s="63"/>
      <c r="B22" s="64" t="s">
        <v>38</v>
      </c>
      <c r="C22" s="1124" t="s">
        <v>300</v>
      </c>
      <c r="D22" s="1124"/>
      <c r="E22" s="238">
        <f>'3.sz.m Önk  bev.'!E22+'5.1 sz. m Köz Hiv'!D10+'5.2 sz. m ÁMK'!D10</f>
        <v>27466576</v>
      </c>
      <c r="F22" s="238">
        <f>'3.sz.m Önk  bev.'!F22+'5.1 sz. m Köz Hiv'!E10+'5.2 sz. m ÁMK'!E10</f>
        <v>27466576</v>
      </c>
      <c r="G22" s="238">
        <f>'3.sz.m Önk  bev.'!G22+'5.1 sz. m Köz Hiv'!F10+'5.2 sz. m ÁMK'!F10</f>
        <v>27466576</v>
      </c>
      <c r="H22" s="238">
        <f>'3.sz.m Önk  bev.'!H22+'5.1 sz. m Köz Hiv'!G10+'5.2 sz. m ÁMK'!G10</f>
        <v>27466576</v>
      </c>
      <c r="I22" s="238">
        <f>'3.sz.m Önk  bev.'!I22+'5.1 sz. m Köz Hiv'!H10+'5.2 sz. m ÁMK'!H10</f>
        <v>30637311</v>
      </c>
      <c r="J22" s="238">
        <f>'3.sz.m Önk  bev.'!J22+'5.1 sz. m Köz Hiv'!I10+'5.2 sz. m ÁMK'!I10</f>
        <v>0</v>
      </c>
      <c r="K22" s="303">
        <f aca="true" t="shared" si="7" ref="K22:O24">+E22-R22</f>
        <v>27085576</v>
      </c>
      <c r="L22" s="303">
        <f t="shared" si="7"/>
        <v>27085576</v>
      </c>
      <c r="M22" s="303">
        <f t="shared" si="7"/>
        <v>27085576</v>
      </c>
      <c r="N22" s="303">
        <f t="shared" si="7"/>
        <v>27085576</v>
      </c>
      <c r="O22" s="303">
        <f t="shared" si="7"/>
        <v>30492311</v>
      </c>
      <c r="P22" s="238">
        <f>'3.sz.m Önk  bev.'!Q22+'5.1 sz. m Köz Hiv'!Q10+'5.2 sz. m ÁMK'!Q10</f>
        <v>-300000</v>
      </c>
      <c r="Q22" s="238">
        <f>'3.sz.m Önk  bev.'!R22+'5.1 sz. m Köz Hiv'!R10+'5.2 sz. m ÁMK'!R10</f>
        <v>0</v>
      </c>
      <c r="R22" s="303">
        <f>+'3.sz.m Önk  bev.'!S22</f>
        <v>381000</v>
      </c>
      <c r="S22" s="303">
        <f>+'3.sz.m Önk  bev.'!T22</f>
        <v>381000</v>
      </c>
      <c r="T22" s="303">
        <f>+'3.sz.m Önk  bev.'!U22</f>
        <v>381000</v>
      </c>
      <c r="U22" s="303">
        <f>+'3.sz.m Önk  bev.'!V22</f>
        <v>381000</v>
      </c>
      <c r="V22" s="303">
        <f>+'3.sz.m Önk  bev.'!W22</f>
        <v>145000</v>
      </c>
      <c r="W22" s="238">
        <f>+'3.sz.m Önk  bev.'!X22</f>
        <v>300000</v>
      </c>
      <c r="X22" s="303">
        <v>0</v>
      </c>
      <c r="Y22" s="303">
        <v>0</v>
      </c>
      <c r="Z22" s="303">
        <v>0</v>
      </c>
      <c r="AA22" s="303">
        <v>0</v>
      </c>
      <c r="AB22" s="303">
        <v>0</v>
      </c>
      <c r="AC22" s="303">
        <v>0</v>
      </c>
      <c r="AD22" s="303">
        <v>0</v>
      </c>
      <c r="AE22" s="912"/>
    </row>
    <row r="23" spans="1:31" ht="21.75" customHeight="1">
      <c r="A23" s="62"/>
      <c r="B23" s="58" t="s">
        <v>39</v>
      </c>
      <c r="C23" s="1112" t="s">
        <v>301</v>
      </c>
      <c r="D23" s="1112"/>
      <c r="E23" s="238">
        <f>'3.sz.m Önk  bev.'!E23+'5.2 sz. m ÁMK'!D11</f>
        <v>7183000</v>
      </c>
      <c r="F23" s="238">
        <f>'3.sz.m Önk  bev.'!F23+'5.2 sz. m ÁMK'!E11</f>
        <v>7183000</v>
      </c>
      <c r="G23" s="238">
        <f>'3.sz.m Önk  bev.'!G23+'5.2 sz. m ÁMK'!F11</f>
        <v>7183000</v>
      </c>
      <c r="H23" s="238">
        <f>'3.sz.m Önk  bev.'!H23+'5.2 sz. m ÁMK'!G11</f>
        <v>7183000</v>
      </c>
      <c r="I23" s="238">
        <f>'3.sz.m Önk  bev.'!I23+'5.2 sz. m ÁMK'!H11+'5.1 sz. m Köz Hiv'!H11</f>
        <v>8323183</v>
      </c>
      <c r="J23" s="238">
        <f>'3.sz.m Önk  bev.'!J23+'5.2 sz. m ÁMK'!I11+'5.1 sz. m Köz Hiv'!I11</f>
        <v>0</v>
      </c>
      <c r="K23" s="303">
        <f t="shared" si="7"/>
        <v>7183000</v>
      </c>
      <c r="L23" s="303">
        <f t="shared" si="7"/>
        <v>7183000</v>
      </c>
      <c r="M23" s="303">
        <f t="shared" si="7"/>
        <v>7183000</v>
      </c>
      <c r="N23" s="303">
        <f t="shared" si="7"/>
        <v>7183000</v>
      </c>
      <c r="O23" s="303">
        <f t="shared" si="7"/>
        <v>8312583</v>
      </c>
      <c r="P23" s="238">
        <f>'3.sz.m Önk  bev.'!Q23+'5.2 sz. m ÁMK'!Q11+'5.1 sz. m Köz Hiv'!Q11</f>
        <v>0</v>
      </c>
      <c r="Q23" s="238">
        <f>'3.sz.m Önk  bev.'!R23+'5.2 sz. m ÁMK'!R11+'5.1 sz. m Köz Hiv'!R11</f>
        <v>0</v>
      </c>
      <c r="R23" s="305">
        <v>0</v>
      </c>
      <c r="S23" s="305">
        <v>0</v>
      </c>
      <c r="T23" s="305">
        <v>0</v>
      </c>
      <c r="U23" s="305">
        <v>0</v>
      </c>
      <c r="V23" s="303">
        <f>+'3.sz.m Önk  bev.'!W23</f>
        <v>10600</v>
      </c>
      <c r="W23" s="240"/>
      <c r="X23" s="305">
        <v>0</v>
      </c>
      <c r="Y23" s="305">
        <v>0</v>
      </c>
      <c r="Z23" s="305">
        <v>0</v>
      </c>
      <c r="AA23" s="305">
        <v>0</v>
      </c>
      <c r="AB23" s="305">
        <v>0</v>
      </c>
      <c r="AC23" s="305">
        <v>0</v>
      </c>
      <c r="AD23" s="305">
        <v>0</v>
      </c>
      <c r="AE23" s="912"/>
    </row>
    <row r="24" spans="1:31" ht="21.75" customHeight="1">
      <c r="A24" s="62"/>
      <c r="B24" s="58" t="s">
        <v>470</v>
      </c>
      <c r="C24" s="1112" t="s">
        <v>466</v>
      </c>
      <c r="D24" s="1115"/>
      <c r="E24" s="238">
        <f>'5.2 sz. m ÁMK'!D13</f>
        <v>6595407</v>
      </c>
      <c r="F24" s="238">
        <f>'5.2 sz. m ÁMK'!E13</f>
        <v>6595407</v>
      </c>
      <c r="G24" s="238">
        <f>'5.2 sz. m ÁMK'!F13</f>
        <v>6595407</v>
      </c>
      <c r="H24" s="238">
        <f>'5.2 sz. m ÁMK'!G13</f>
        <v>6595407</v>
      </c>
      <c r="I24" s="238">
        <f>'5.2 sz. m ÁMK'!H13</f>
        <v>6162299</v>
      </c>
      <c r="J24" s="238">
        <f>'5.2 sz. m ÁMK'!I13</f>
        <v>0</v>
      </c>
      <c r="K24" s="303">
        <f t="shared" si="7"/>
        <v>6595407</v>
      </c>
      <c r="L24" s="303">
        <f t="shared" si="7"/>
        <v>6595407</v>
      </c>
      <c r="M24" s="303">
        <f t="shared" si="7"/>
        <v>6595407</v>
      </c>
      <c r="N24" s="303">
        <f t="shared" si="7"/>
        <v>6595407</v>
      </c>
      <c r="O24" s="303">
        <f t="shared" si="7"/>
        <v>6162299</v>
      </c>
      <c r="P24" s="238">
        <f>'5.2 sz. m ÁMK'!Q13</f>
        <v>0</v>
      </c>
      <c r="Q24" s="238">
        <f>'5.2 sz. m ÁMK'!R13</f>
        <v>0</v>
      </c>
      <c r="R24" s="305"/>
      <c r="S24" s="305"/>
      <c r="T24" s="305"/>
      <c r="U24" s="305"/>
      <c r="V24" s="303"/>
      <c r="W24" s="240"/>
      <c r="X24" s="305"/>
      <c r="Y24" s="305"/>
      <c r="Z24" s="305"/>
      <c r="AA24" s="305"/>
      <c r="AB24" s="305"/>
      <c r="AC24" s="305"/>
      <c r="AD24" s="305"/>
      <c r="AE24" s="912"/>
    </row>
    <row r="25" spans="1:31" ht="21.75" customHeight="1">
      <c r="A25" s="62"/>
      <c r="B25" s="58" t="s">
        <v>270</v>
      </c>
      <c r="C25" s="1112" t="s">
        <v>302</v>
      </c>
      <c r="D25" s="1112"/>
      <c r="E25" s="240">
        <f aca="true" t="shared" si="8" ref="E25:J25">SUM(E26:E28)</f>
        <v>1083712</v>
      </c>
      <c r="F25" s="240">
        <f t="shared" si="8"/>
        <v>1083712</v>
      </c>
      <c r="G25" s="240">
        <f>SUM(G26:G28)</f>
        <v>1083712</v>
      </c>
      <c r="H25" s="240">
        <f>SUM(H26:H28)</f>
        <v>1864426</v>
      </c>
      <c r="I25" s="240">
        <f t="shared" si="8"/>
        <v>1043112</v>
      </c>
      <c r="J25" s="240">
        <f t="shared" si="8"/>
        <v>0</v>
      </c>
      <c r="K25" s="305">
        <f>SUM(K26:K28)</f>
        <v>1083712</v>
      </c>
      <c r="L25" s="305">
        <f>SUM(L26:L28)</f>
        <v>1083712</v>
      </c>
      <c r="M25" s="305">
        <f>SUM(M26:M28)</f>
        <v>1083712</v>
      </c>
      <c r="N25" s="305">
        <f>SUM(N26:N28)</f>
        <v>1864426</v>
      </c>
      <c r="O25" s="305">
        <f>SUM(O26:O28)</f>
        <v>1043112</v>
      </c>
      <c r="P25" s="240">
        <f>SUM(P26:P28)</f>
        <v>0</v>
      </c>
      <c r="Q25" s="240">
        <f>SUM(Q26:Q28)</f>
        <v>2</v>
      </c>
      <c r="R25" s="305">
        <v>0</v>
      </c>
      <c r="S25" s="305">
        <v>0</v>
      </c>
      <c r="T25" s="305">
        <v>0</v>
      </c>
      <c r="U25" s="305">
        <v>0</v>
      </c>
      <c r="V25" s="303"/>
      <c r="W25" s="240">
        <f>SUM(W26:W28)</f>
        <v>0</v>
      </c>
      <c r="X25" s="305">
        <v>0</v>
      </c>
      <c r="Y25" s="305">
        <v>0</v>
      </c>
      <c r="Z25" s="305">
        <v>0</v>
      </c>
      <c r="AA25" s="305">
        <v>0</v>
      </c>
      <c r="AB25" s="305">
        <v>0</v>
      </c>
      <c r="AC25" s="305">
        <v>0</v>
      </c>
      <c r="AD25" s="305">
        <v>0</v>
      </c>
      <c r="AE25" s="912"/>
    </row>
    <row r="26" spans="1:31" ht="31.5" customHeight="1">
      <c r="A26" s="62"/>
      <c r="B26" s="58"/>
      <c r="C26" s="58" t="s">
        <v>471</v>
      </c>
      <c r="D26" s="201" t="s">
        <v>303</v>
      </c>
      <c r="E26" s="240">
        <f>'3.sz.m Önk  bev.'!E25+'5.2 sz. m ÁMK'!D12</f>
        <v>1083712</v>
      </c>
      <c r="F26" s="240">
        <f>'3.sz.m Önk  bev.'!F25+'5.2 sz. m ÁMK'!E12</f>
        <v>1083712</v>
      </c>
      <c r="G26" s="240">
        <f>'3.sz.m Önk  bev.'!G25+'5.2 sz. m ÁMK'!F12</f>
        <v>1083712</v>
      </c>
      <c r="H26" s="240">
        <f>'3.sz.m Önk  bev.'!H25+'5.2 sz. m ÁMK'!G12</f>
        <v>1083712</v>
      </c>
      <c r="I26" s="240">
        <f>'3.sz.m Önk  bev.'!I25+'5.2 sz. m ÁMK'!H12</f>
        <v>457576</v>
      </c>
      <c r="J26" s="240">
        <f>'3.sz.m Önk  bev.'!J25+'5.2 sz. m ÁMK'!I12</f>
        <v>0</v>
      </c>
      <c r="K26" s="305">
        <f>'3.sz.m Önk  bev.'!L25</f>
        <v>1083712</v>
      </c>
      <c r="L26" s="305">
        <f>'3.sz.m Önk  bev.'!M25</f>
        <v>1083712</v>
      </c>
      <c r="M26" s="305">
        <f>'3.sz.m Önk  bev.'!N25</f>
        <v>1083712</v>
      </c>
      <c r="N26" s="305">
        <f>'3.sz.m Önk  bev.'!O25</f>
        <v>1083712</v>
      </c>
      <c r="O26" s="305">
        <f>'3.sz.m Önk  bev.'!P25</f>
        <v>457576</v>
      </c>
      <c r="P26" s="240">
        <f>'3.sz.m Önk  bev.'!Q25+'5.2 sz. m ÁMK'!Q12</f>
        <v>0</v>
      </c>
      <c r="Q26" s="240">
        <f>'3.sz.m Önk  bev.'!R25+'5.2 sz. m ÁMK'!R12</f>
        <v>0</v>
      </c>
      <c r="R26" s="305">
        <v>0</v>
      </c>
      <c r="S26" s="305">
        <v>0</v>
      </c>
      <c r="T26" s="305">
        <v>0</v>
      </c>
      <c r="U26" s="305">
        <v>0</v>
      </c>
      <c r="V26" s="303"/>
      <c r="W26" s="240">
        <f>'3.sz.m Önk  bev.'!X25</f>
        <v>0</v>
      </c>
      <c r="X26" s="305">
        <v>0</v>
      </c>
      <c r="Y26" s="305">
        <v>0</v>
      </c>
      <c r="Z26" s="305">
        <v>0</v>
      </c>
      <c r="AA26" s="305">
        <v>0</v>
      </c>
      <c r="AB26" s="305">
        <v>0</v>
      </c>
      <c r="AC26" s="305">
        <v>0</v>
      </c>
      <c r="AD26" s="305">
        <v>0</v>
      </c>
      <c r="AE26" s="912"/>
    </row>
    <row r="27" spans="1:31" ht="41.25" customHeight="1">
      <c r="A27" s="62"/>
      <c r="B27" s="58"/>
      <c r="C27" s="58" t="s">
        <v>472</v>
      </c>
      <c r="D27" s="201" t="s">
        <v>304</v>
      </c>
      <c r="E27" s="240">
        <f>'3.sz.m Önk  bev.'!E26</f>
        <v>0</v>
      </c>
      <c r="F27" s="240">
        <f>'3.sz.m Önk  bev.'!F26</f>
        <v>0</v>
      </c>
      <c r="G27" s="240">
        <f>'3.sz.m Önk  bev.'!G26</f>
        <v>0</v>
      </c>
      <c r="H27" s="240">
        <f>'3.sz.m Önk  bev.'!H26</f>
        <v>780714</v>
      </c>
      <c r="I27" s="240">
        <f>'3.sz.m Önk  bev.'!I26</f>
        <v>585536</v>
      </c>
      <c r="J27" s="240">
        <f>'3.sz.m Önk  bev.'!J26</f>
        <v>0</v>
      </c>
      <c r="K27" s="305">
        <f>'3.sz.m Önk  bev.'!L26</f>
        <v>0</v>
      </c>
      <c r="L27" s="305">
        <f>'3.sz.m Önk  bev.'!M26</f>
        <v>0</v>
      </c>
      <c r="M27" s="305">
        <f>'3.sz.m Önk  bev.'!N26</f>
        <v>0</v>
      </c>
      <c r="N27" s="305">
        <f>'3.sz.m Önk  bev.'!O26</f>
        <v>780714</v>
      </c>
      <c r="O27" s="305">
        <f>'3.sz.m Önk  bev.'!P26</f>
        <v>585536</v>
      </c>
      <c r="P27" s="240">
        <f>'3.sz.m Önk  bev.'!Q26</f>
        <v>0</v>
      </c>
      <c r="Q27" s="240">
        <f>'3.sz.m Önk  bev.'!R26</f>
        <v>0</v>
      </c>
      <c r="R27" s="305">
        <v>0</v>
      </c>
      <c r="S27" s="305">
        <v>0</v>
      </c>
      <c r="T27" s="305">
        <v>0</v>
      </c>
      <c r="U27" s="305">
        <v>0</v>
      </c>
      <c r="V27" s="303"/>
      <c r="W27" s="240"/>
      <c r="X27" s="305">
        <v>0</v>
      </c>
      <c r="Y27" s="305">
        <v>0</v>
      </c>
      <c r="Z27" s="305">
        <v>0</v>
      </c>
      <c r="AA27" s="305">
        <v>0</v>
      </c>
      <c r="AB27" s="305">
        <v>0</v>
      </c>
      <c r="AC27" s="305">
        <v>0</v>
      </c>
      <c r="AD27" s="305">
        <v>0</v>
      </c>
      <c r="AE27" s="912"/>
    </row>
    <row r="28" spans="1:31" ht="21.75" customHeight="1">
      <c r="A28" s="62"/>
      <c r="B28" s="58"/>
      <c r="C28" s="58" t="s">
        <v>473</v>
      </c>
      <c r="D28" s="201" t="s">
        <v>484</v>
      </c>
      <c r="E28" s="240">
        <f>'3.sz.m Önk  bev.'!E27</f>
        <v>0</v>
      </c>
      <c r="F28" s="240">
        <f>'3.sz.m Önk  bev.'!F27</f>
        <v>0</v>
      </c>
      <c r="G28" s="240">
        <f>'3.sz.m Önk  bev.'!G27</f>
        <v>0</v>
      </c>
      <c r="H28" s="240">
        <f>'3.sz.m Önk  bev.'!H27</f>
        <v>0</v>
      </c>
      <c r="I28" s="240">
        <f>'3.sz.m Önk  bev.'!I27</f>
        <v>0</v>
      </c>
      <c r="J28" s="240">
        <f>'3.sz.m Önk  bev.'!J27</f>
        <v>0</v>
      </c>
      <c r="K28" s="305">
        <f>'3.sz.m Önk  bev.'!L27</f>
        <v>0</v>
      </c>
      <c r="L28" s="305">
        <f>'3.sz.m Önk  bev.'!M27</f>
        <v>0</v>
      </c>
      <c r="M28" s="305">
        <f>'3.sz.m Önk  bev.'!N27</f>
        <v>0</v>
      </c>
      <c r="N28" s="305">
        <f>'3.sz.m Önk  bev.'!O27</f>
        <v>0</v>
      </c>
      <c r="O28" s="305">
        <f>'3.sz.m Önk  bev.'!P27</f>
        <v>0</v>
      </c>
      <c r="P28" s="240">
        <f>'3.sz.m Önk  bev.'!Q27</f>
        <v>0</v>
      </c>
      <c r="Q28" s="240">
        <f>'3.sz.m Önk  bev.'!R27</f>
        <v>2</v>
      </c>
      <c r="R28" s="305">
        <v>0</v>
      </c>
      <c r="S28" s="305">
        <v>0</v>
      </c>
      <c r="T28" s="305">
        <v>0</v>
      </c>
      <c r="U28" s="305">
        <v>0</v>
      </c>
      <c r="V28" s="303"/>
      <c r="W28" s="240"/>
      <c r="X28" s="305">
        <v>0</v>
      </c>
      <c r="Y28" s="305">
        <v>0</v>
      </c>
      <c r="Z28" s="305">
        <v>0</v>
      </c>
      <c r="AA28" s="305">
        <v>0</v>
      </c>
      <c r="AB28" s="305">
        <v>0</v>
      </c>
      <c r="AC28" s="305">
        <v>0</v>
      </c>
      <c r="AD28" s="305">
        <v>0</v>
      </c>
      <c r="AE28" s="912"/>
    </row>
    <row r="29" spans="1:31" ht="21.75" customHeight="1">
      <c r="A29" s="62"/>
      <c r="B29" s="58" t="s">
        <v>306</v>
      </c>
      <c r="C29" s="1112" t="s">
        <v>305</v>
      </c>
      <c r="D29" s="1112"/>
      <c r="E29" s="240">
        <f>'3.sz.m Önk  bev.'!E28+'5.2 sz. m ÁMK'!D14</f>
        <v>7416897</v>
      </c>
      <c r="F29" s="240">
        <f>'3.sz.m Önk  bev.'!F28+'5.2 sz. m ÁMK'!E14</f>
        <v>7416897</v>
      </c>
      <c r="G29" s="240">
        <f>'3.sz.m Önk  bev.'!G28+'5.2 sz. m ÁMK'!F14</f>
        <v>7416897</v>
      </c>
      <c r="H29" s="240">
        <f>'3.sz.m Önk  bev.'!H28+'5.2 sz. m ÁMK'!G14</f>
        <v>7627690</v>
      </c>
      <c r="I29" s="240">
        <f>'3.sz.m Önk  bev.'!I28+'5.2 sz. m ÁMK'!H14</f>
        <v>8482990</v>
      </c>
      <c r="J29" s="240">
        <f>'3.sz.m Önk  bev.'!J28+'5.2 sz. m ÁMK'!I14</f>
        <v>0</v>
      </c>
      <c r="K29" s="303">
        <f>+E29-R29</f>
        <v>7416897</v>
      </c>
      <c r="L29" s="303">
        <f>+F29-S29</f>
        <v>7416897</v>
      </c>
      <c r="M29" s="303">
        <f>+G29-T29</f>
        <v>7416897</v>
      </c>
      <c r="N29" s="303">
        <f>+H29-U29</f>
        <v>7627690</v>
      </c>
      <c r="O29" s="303">
        <f>+I29-V29</f>
        <v>8440978</v>
      </c>
      <c r="P29" s="240">
        <f>'3.sz.m Önk  bev.'!Q28+'5.2 sz. m ÁMK'!Q14</f>
        <v>-81000</v>
      </c>
      <c r="Q29" s="240">
        <f>'3.sz.m Önk  bev.'!R28+'5.2 sz. m ÁMK'!R14</f>
        <v>0</v>
      </c>
      <c r="R29" s="305">
        <v>0</v>
      </c>
      <c r="S29" s="305">
        <v>0</v>
      </c>
      <c r="T29" s="305">
        <v>0</v>
      </c>
      <c r="U29" s="305">
        <v>0</v>
      </c>
      <c r="V29" s="303">
        <f>+'3.sz.m Önk  bev.'!W28</f>
        <v>42012</v>
      </c>
      <c r="W29" s="240">
        <f>+'3.sz.m Önk  bev.'!X28</f>
        <v>81000</v>
      </c>
      <c r="X29" s="305">
        <v>0</v>
      </c>
      <c r="Y29" s="305">
        <v>0</v>
      </c>
      <c r="Z29" s="305">
        <v>0</v>
      </c>
      <c r="AA29" s="305">
        <v>0</v>
      </c>
      <c r="AB29" s="305">
        <v>0</v>
      </c>
      <c r="AC29" s="305">
        <v>0</v>
      </c>
      <c r="AD29" s="305">
        <v>0</v>
      </c>
      <c r="AE29" s="912"/>
    </row>
    <row r="30" spans="1:31" ht="21.75" customHeight="1">
      <c r="A30" s="66"/>
      <c r="B30" s="67" t="s">
        <v>307</v>
      </c>
      <c r="C30" s="1112" t="s">
        <v>517</v>
      </c>
      <c r="D30" s="1115"/>
      <c r="E30" s="240">
        <f>'3.sz.m Önk  bev.'!E29</f>
        <v>0</v>
      </c>
      <c r="F30" s="240">
        <f>'3.sz.m Önk  bev.'!F29</f>
        <v>0</v>
      </c>
      <c r="G30" s="240">
        <f>'3.sz.m Önk  bev.'!G29</f>
        <v>0</v>
      </c>
      <c r="H30" s="240">
        <f>'3.sz.m Önk  bev.'!H29</f>
        <v>14788223</v>
      </c>
      <c r="I30" s="240"/>
      <c r="J30" s="240"/>
      <c r="K30" s="305">
        <f>'3.sz.m Önk  bev.'!L29</f>
        <v>0</v>
      </c>
      <c r="L30" s="305">
        <f>'3.sz.m Önk  bev.'!M29</f>
        <v>0</v>
      </c>
      <c r="M30" s="305">
        <f>'3.sz.m Önk  bev.'!N29</f>
        <v>0</v>
      </c>
      <c r="N30" s="305">
        <f>'3.sz.m Önk  bev.'!O29</f>
        <v>14788223</v>
      </c>
      <c r="O30" s="305">
        <f>'3.sz.m Önk  bev.'!P29</f>
        <v>14788223</v>
      </c>
      <c r="P30" s="240">
        <f>'3.sz.m Önk  bev.'!P29</f>
        <v>14788223</v>
      </c>
      <c r="Q30" s="240">
        <f>'3.sz.m Önk  bev.'!Q29</f>
        <v>0</v>
      </c>
      <c r="R30" s="305">
        <v>0</v>
      </c>
      <c r="S30" s="305">
        <v>0</v>
      </c>
      <c r="T30" s="305">
        <v>0</v>
      </c>
      <c r="U30" s="305">
        <v>0</v>
      </c>
      <c r="V30" s="303">
        <f>+'3.sz.m Önk  bev.'!W30</f>
        <v>0</v>
      </c>
      <c r="W30" s="240"/>
      <c r="X30" s="305">
        <v>0</v>
      </c>
      <c r="Y30" s="305">
        <v>0</v>
      </c>
      <c r="Z30" s="305">
        <v>0</v>
      </c>
      <c r="AA30" s="305">
        <v>0</v>
      </c>
      <c r="AB30" s="305">
        <v>0</v>
      </c>
      <c r="AC30" s="305">
        <v>0</v>
      </c>
      <c r="AD30" s="305">
        <v>0</v>
      </c>
      <c r="AE30" s="912"/>
    </row>
    <row r="31" spans="1:31" ht="21.75" customHeight="1">
      <c r="A31" s="66"/>
      <c r="B31" s="67" t="s">
        <v>307</v>
      </c>
      <c r="C31" s="1112" t="s">
        <v>308</v>
      </c>
      <c r="D31" s="1115"/>
      <c r="E31" s="240">
        <f>'3.sz.m Önk  bev.'!E30+'5.1 sz. m Köz Hiv'!D12+'5.2 sz. m ÁMK'!D15</f>
        <v>100100</v>
      </c>
      <c r="F31" s="240">
        <f>'3.sz.m Önk  bev.'!F30+'5.1 sz. m Köz Hiv'!E12+'5.2 sz. m ÁMK'!E15</f>
        <v>100120</v>
      </c>
      <c r="G31" s="240">
        <f>'3.sz.m Önk  bev.'!G30+'5.1 sz. m Köz Hiv'!F12+'5.2 sz. m ÁMK'!F15</f>
        <v>100120</v>
      </c>
      <c r="H31" s="240">
        <f>'3.sz.m Önk  bev.'!H30+'5.1 sz. m Köz Hiv'!G12+'5.2 sz. m ÁMK'!G15</f>
        <v>100120</v>
      </c>
      <c r="I31" s="240">
        <f>'3.sz.m Önk  bev.'!I30+'5.1 sz. m Köz Hiv'!H12+'5.2 sz. m ÁMK'!H15</f>
        <v>34397</v>
      </c>
      <c r="J31" s="240">
        <f>'3.sz.m Önk  bev.'!J30+'5.1 sz. m Köz Hiv'!I12+'5.2 sz. m ÁMK'!I15</f>
        <v>0</v>
      </c>
      <c r="K31" s="303">
        <f aca="true" t="shared" si="9" ref="K31:O32">+E31-R31</f>
        <v>100100</v>
      </c>
      <c r="L31" s="303">
        <f t="shared" si="9"/>
        <v>100120</v>
      </c>
      <c r="M31" s="303">
        <f t="shared" si="9"/>
        <v>100120</v>
      </c>
      <c r="N31" s="303">
        <f t="shared" si="9"/>
        <v>100120</v>
      </c>
      <c r="O31" s="303">
        <f t="shared" si="9"/>
        <v>34397</v>
      </c>
      <c r="P31" s="240">
        <f>'3.sz.m Önk  bev.'!Q30+'5.1 sz. m Köz Hiv'!Q12+'5.2 sz. m ÁMK'!Q15</f>
        <v>0</v>
      </c>
      <c r="Q31" s="240">
        <f>'3.sz.m Önk  bev.'!R30+'5.1 sz. m Köz Hiv'!R12+'5.2 sz. m ÁMK'!R15</f>
        <v>0</v>
      </c>
      <c r="R31" s="305">
        <v>0</v>
      </c>
      <c r="S31" s="305">
        <v>0</v>
      </c>
      <c r="T31" s="305">
        <v>0</v>
      </c>
      <c r="U31" s="305">
        <v>0</v>
      </c>
      <c r="V31" s="303">
        <f>+'3.sz.m Önk  bev.'!W31</f>
        <v>0</v>
      </c>
      <c r="W31" s="240"/>
      <c r="X31" s="305">
        <v>0</v>
      </c>
      <c r="Y31" s="305">
        <v>0</v>
      </c>
      <c r="Z31" s="305">
        <v>0</v>
      </c>
      <c r="AA31" s="305">
        <v>0</v>
      </c>
      <c r="AB31" s="305">
        <v>0</v>
      </c>
      <c r="AC31" s="305">
        <v>0</v>
      </c>
      <c r="AD31" s="305">
        <v>0</v>
      </c>
      <c r="AE31" s="912"/>
    </row>
    <row r="32" spans="1:31" ht="21.75" customHeight="1" thickBot="1">
      <c r="A32" s="66"/>
      <c r="B32" s="67" t="s">
        <v>474</v>
      </c>
      <c r="C32" s="1125" t="s">
        <v>69</v>
      </c>
      <c r="D32" s="1125"/>
      <c r="E32" s="240">
        <f>'3.sz.m Önk  bev.'!E31+'5.1 sz. m Köz Hiv'!D13+'5.2 sz. m ÁMK'!D16</f>
        <v>22267362</v>
      </c>
      <c r="F32" s="240">
        <f>'3.sz.m Önk  bev.'!F31+'5.1 sz. m Köz Hiv'!E13+'5.2 sz. m ÁMK'!E16</f>
        <v>16403108</v>
      </c>
      <c r="G32" s="240">
        <f>'3.sz.m Önk  bev.'!G31+'5.1 sz. m Köz Hiv'!F13+'5.2 sz. m ÁMK'!F16</f>
        <v>13203379</v>
      </c>
      <c r="H32" s="240">
        <f>'3.sz.m Önk  bev.'!H31+'5.1 sz. m Köz Hiv'!G13+'5.2 sz. m ÁMK'!G16</f>
        <v>10243228</v>
      </c>
      <c r="I32" s="240">
        <f>'3.sz.m Önk  bev.'!I31+'5.1 sz. m Köz Hiv'!H13+'5.2 sz. m ÁMK'!H16</f>
        <v>2021113</v>
      </c>
      <c r="J32" s="240">
        <f>'3.sz.m Önk  bev.'!J31+'5.1 sz. m Köz Hiv'!I13+'5.2 sz. m ÁMK'!I16</f>
        <v>0</v>
      </c>
      <c r="K32" s="303">
        <f t="shared" si="9"/>
        <v>22267362</v>
      </c>
      <c r="L32" s="303">
        <f t="shared" si="9"/>
        <v>16403108</v>
      </c>
      <c r="M32" s="303">
        <f t="shared" si="9"/>
        <v>13203379</v>
      </c>
      <c r="N32" s="303">
        <f t="shared" si="9"/>
        <v>10243228</v>
      </c>
      <c r="O32" s="303">
        <f t="shared" si="9"/>
        <v>2021113</v>
      </c>
      <c r="P32" s="305">
        <f>'3.sz.m Önk  bev.'!Q31</f>
        <v>0</v>
      </c>
      <c r="Q32" s="305">
        <f>'3.sz.m Önk  bev.'!R31</f>
        <v>0</v>
      </c>
      <c r="R32" s="305">
        <v>0</v>
      </c>
      <c r="S32" s="305">
        <v>0</v>
      </c>
      <c r="T32" s="305">
        <v>0</v>
      </c>
      <c r="U32" s="305">
        <v>0</v>
      </c>
      <c r="V32" s="303"/>
      <c r="W32" s="240"/>
      <c r="X32" s="305">
        <v>0</v>
      </c>
      <c r="Y32" s="305">
        <v>0</v>
      </c>
      <c r="Z32" s="305">
        <v>0</v>
      </c>
      <c r="AA32" s="305">
        <v>0</v>
      </c>
      <c r="AB32" s="305">
        <v>0</v>
      </c>
      <c r="AC32" s="305">
        <v>0</v>
      </c>
      <c r="AD32" s="305">
        <v>0</v>
      </c>
      <c r="AE32" s="912"/>
    </row>
    <row r="33" spans="1:31" ht="21.75" customHeight="1" hidden="1" thickBot="1">
      <c r="A33" s="66"/>
      <c r="B33" s="67" t="s">
        <v>518</v>
      </c>
      <c r="C33" s="1112" t="s">
        <v>517</v>
      </c>
      <c r="D33" s="1115"/>
      <c r="E33" s="240"/>
      <c r="F33" s="240"/>
      <c r="G33" s="240"/>
      <c r="H33" s="240"/>
      <c r="I33" s="240">
        <f>'3.sz.m Önk  bev.'!I29</f>
        <v>14788223</v>
      </c>
      <c r="J33" s="240">
        <f>'3.sz.m Önk  bev.'!J29</f>
        <v>0</v>
      </c>
      <c r="K33" s="305"/>
      <c r="L33" s="305"/>
      <c r="M33" s="305"/>
      <c r="N33" s="305"/>
      <c r="O33" s="305"/>
      <c r="P33" s="240">
        <f>+'3.sz.m Önk  bev.'!Q29</f>
        <v>0</v>
      </c>
      <c r="Q33" s="240"/>
      <c r="R33" s="305"/>
      <c r="S33" s="305"/>
      <c r="T33" s="305"/>
      <c r="U33" s="305"/>
      <c r="V33" s="305"/>
      <c r="W33" s="240"/>
      <c r="X33" s="305"/>
      <c r="Y33" s="305"/>
      <c r="Z33" s="305"/>
      <c r="AA33" s="305"/>
      <c r="AB33" s="305"/>
      <c r="AC33" s="305"/>
      <c r="AD33" s="305"/>
      <c r="AE33" s="912"/>
    </row>
    <row r="34" spans="1:31" ht="42.75" customHeight="1" thickBot="1">
      <c r="A34" s="69" t="s">
        <v>9</v>
      </c>
      <c r="B34" s="1120" t="s">
        <v>309</v>
      </c>
      <c r="C34" s="1120"/>
      <c r="D34" s="1120"/>
      <c r="E34" s="297">
        <f aca="true" t="shared" si="10" ref="E34:P34">SUM(E35:E39)</f>
        <v>340241503</v>
      </c>
      <c r="F34" s="72">
        <f t="shared" si="10"/>
        <v>346150839</v>
      </c>
      <c r="G34" s="72">
        <f t="shared" si="10"/>
        <v>352570336</v>
      </c>
      <c r="H34" s="72">
        <f>SUM(H35:H39)</f>
        <v>369807385</v>
      </c>
      <c r="I34" s="72">
        <f t="shared" si="10"/>
        <v>389603362</v>
      </c>
      <c r="J34" s="72">
        <f t="shared" si="10"/>
        <v>0</v>
      </c>
      <c r="K34" s="297">
        <f t="shared" si="10"/>
        <v>291196675</v>
      </c>
      <c r="L34" s="297">
        <f>SUM(L35:L39)</f>
        <v>297106011</v>
      </c>
      <c r="M34" s="297">
        <f>SUM(M35:M39)</f>
        <v>303525508</v>
      </c>
      <c r="N34" s="297">
        <f>SUM(N35:N39)</f>
        <v>320762557</v>
      </c>
      <c r="O34" s="297">
        <f>SUM(O35:O39)</f>
        <v>340558534</v>
      </c>
      <c r="P34" s="72">
        <f t="shared" si="10"/>
        <v>0</v>
      </c>
      <c r="Q34" s="621">
        <f>P34/N34</f>
        <v>0</v>
      </c>
      <c r="R34" s="297">
        <f>SUM(R35:R39)</f>
        <v>49044828</v>
      </c>
      <c r="S34" s="297">
        <f>SUM(S35:S39)</f>
        <v>49044828</v>
      </c>
      <c r="T34" s="297">
        <f>SUM(T35:T39)</f>
        <v>49044828</v>
      </c>
      <c r="U34" s="297">
        <f>SUM(U35:U39)</f>
        <v>49044828</v>
      </c>
      <c r="V34" s="297">
        <f>SUM(V35:V39)</f>
        <v>49044828</v>
      </c>
      <c r="W34" s="72"/>
      <c r="X34" s="297">
        <v>0</v>
      </c>
      <c r="Y34" s="297">
        <v>0</v>
      </c>
      <c r="Z34" s="297">
        <v>0</v>
      </c>
      <c r="AA34" s="297">
        <v>0</v>
      </c>
      <c r="AB34" s="297">
        <v>0</v>
      </c>
      <c r="AC34" s="297">
        <v>0</v>
      </c>
      <c r="AD34" s="297">
        <v>0</v>
      </c>
      <c r="AE34" s="912"/>
    </row>
    <row r="35" spans="1:31" ht="21.75" customHeight="1">
      <c r="A35" s="63"/>
      <c r="B35" s="67" t="s">
        <v>41</v>
      </c>
      <c r="C35" s="1113" t="s">
        <v>310</v>
      </c>
      <c r="D35" s="1114"/>
      <c r="E35" s="305">
        <f>'3.sz.m Önk  bev.'!E33</f>
        <v>274627404</v>
      </c>
      <c r="F35" s="240">
        <f>'3.sz.m Önk  bev.'!F33</f>
        <v>280536740</v>
      </c>
      <c r="G35" s="240">
        <f>'3.sz.m Önk  bev.'!G33</f>
        <v>283973825</v>
      </c>
      <c r="H35" s="240">
        <f>'3.sz.m Önk  bev.'!H33</f>
        <v>295428718</v>
      </c>
      <c r="I35" s="240">
        <f>'3.sz.m Önk  bev.'!I33</f>
        <v>302770260</v>
      </c>
      <c r="J35" s="240">
        <f>'3.sz.m Önk  bev.'!J33</f>
        <v>0</v>
      </c>
      <c r="K35" s="305">
        <f>'3.sz.m Önk  bev.'!L33</f>
        <v>274627404</v>
      </c>
      <c r="L35" s="305">
        <f>'3.sz.m Önk  bev.'!M33</f>
        <v>280536740</v>
      </c>
      <c r="M35" s="305">
        <f>'3.sz.m Önk  bev.'!N33</f>
        <v>283973825</v>
      </c>
      <c r="N35" s="305">
        <f>'3.sz.m Önk  bev.'!O33</f>
        <v>295428718</v>
      </c>
      <c r="O35" s="305">
        <f>'3.sz.m Önk  bev.'!P33</f>
        <v>302770260</v>
      </c>
      <c r="P35" s="240">
        <f>'3.sz.m Önk  bev.'!Q33</f>
        <v>0</v>
      </c>
      <c r="Q35" s="622">
        <f>P35/N35</f>
        <v>0</v>
      </c>
      <c r="R35" s="304">
        <f>'3.sz.m Önk  bev.'!S35</f>
        <v>0</v>
      </c>
      <c r="S35" s="304">
        <f>'3.sz.m Önk  bev.'!T35</f>
        <v>0</v>
      </c>
      <c r="T35" s="304">
        <f>'3.sz.m Önk  bev.'!U35</f>
        <v>0</v>
      </c>
      <c r="U35" s="304">
        <f>'3.sz.m Önk  bev.'!V35</f>
        <v>0</v>
      </c>
      <c r="V35" s="304">
        <f>'3.sz.m Önk  bev.'!W35</f>
        <v>0</v>
      </c>
      <c r="W35" s="240"/>
      <c r="X35" s="305">
        <v>0</v>
      </c>
      <c r="Y35" s="305">
        <v>0</v>
      </c>
      <c r="Z35" s="305">
        <v>0</v>
      </c>
      <c r="AA35" s="305">
        <v>0</v>
      </c>
      <c r="AB35" s="305">
        <v>0</v>
      </c>
      <c r="AC35" s="305">
        <v>0</v>
      </c>
      <c r="AD35" s="305">
        <v>0</v>
      </c>
      <c r="AE35" s="912"/>
    </row>
    <row r="36" spans="1:31" ht="21.75" customHeight="1">
      <c r="A36" s="62"/>
      <c r="B36" s="67" t="s">
        <v>42</v>
      </c>
      <c r="C36" s="1112" t="s">
        <v>479</v>
      </c>
      <c r="D36" s="1115"/>
      <c r="E36" s="305">
        <f>'3.sz.m Önk  bev.'!E34</f>
        <v>0</v>
      </c>
      <c r="F36" s="240">
        <f>'3.sz.m Önk  bev.'!F34</f>
        <v>0</v>
      </c>
      <c r="G36" s="240">
        <f>'3.sz.m Önk  bev.'!G34</f>
        <v>0</v>
      </c>
      <c r="H36" s="240">
        <f>'3.sz.m Önk  bev.'!H34</f>
        <v>1943100</v>
      </c>
      <c r="I36" s="240">
        <f>'3.sz.m Önk  bev.'!I34</f>
        <v>1943100</v>
      </c>
      <c r="J36" s="240">
        <f>'3.sz.m Önk  bev.'!J34</f>
        <v>0</v>
      </c>
      <c r="K36" s="305">
        <f>'3.sz.m Önk  bev.'!L34</f>
        <v>0</v>
      </c>
      <c r="L36" s="305">
        <f>'3.sz.m Önk  bev.'!M34</f>
        <v>0</v>
      </c>
      <c r="M36" s="305">
        <f>'3.sz.m Önk  bev.'!N34</f>
        <v>0</v>
      </c>
      <c r="N36" s="305">
        <f>'3.sz.m Önk  bev.'!O34</f>
        <v>1943100</v>
      </c>
      <c r="O36" s="305">
        <f>'3.sz.m Önk  bev.'!P34</f>
        <v>1943100</v>
      </c>
      <c r="P36" s="240">
        <f>'3.sz.m Önk  bev.'!Q34</f>
        <v>0</v>
      </c>
      <c r="Q36" s="623">
        <f>P36/N36</f>
        <v>0</v>
      </c>
      <c r="R36" s="305">
        <v>0</v>
      </c>
      <c r="S36" s="305">
        <v>0</v>
      </c>
      <c r="T36" s="305">
        <v>0</v>
      </c>
      <c r="U36" s="305">
        <v>0</v>
      </c>
      <c r="V36" s="305">
        <v>0</v>
      </c>
      <c r="W36" s="240"/>
      <c r="X36" s="305">
        <v>0</v>
      </c>
      <c r="Y36" s="305">
        <v>0</v>
      </c>
      <c r="Z36" s="305">
        <v>0</v>
      </c>
      <c r="AA36" s="305">
        <v>0</v>
      </c>
      <c r="AB36" s="305">
        <v>0</v>
      </c>
      <c r="AC36" s="305">
        <v>0</v>
      </c>
      <c r="AD36" s="305">
        <v>0</v>
      </c>
      <c r="AE36" s="912"/>
    </row>
    <row r="37" spans="1:31" ht="21.75" customHeight="1">
      <c r="A37" s="62"/>
      <c r="B37" s="67" t="s">
        <v>66</v>
      </c>
      <c r="C37" s="1112" t="s">
        <v>606</v>
      </c>
      <c r="D37" s="1112"/>
      <c r="E37" s="305">
        <f>'3.sz.m Önk  bev.'!E35</f>
        <v>0</v>
      </c>
      <c r="F37" s="240">
        <f>'3.sz.m Önk  bev.'!F35</f>
        <v>0</v>
      </c>
      <c r="G37" s="240">
        <f>'3.sz.m Önk  bev.'!G35</f>
        <v>0</v>
      </c>
      <c r="H37" s="240">
        <f>'3.sz.m Önk  bev.'!H35</f>
        <v>0</v>
      </c>
      <c r="I37" s="240">
        <f>'3.sz.m Önk  bev.'!I35</f>
        <v>0</v>
      </c>
      <c r="J37" s="240">
        <f>'3.sz.m Önk  bev.'!J35</f>
        <v>0</v>
      </c>
      <c r="K37" s="305">
        <f>'3.sz.m Önk  bev.'!L35</f>
        <v>0</v>
      </c>
      <c r="L37" s="305">
        <f>'3.sz.m Önk  bev.'!M35</f>
        <v>0</v>
      </c>
      <c r="M37" s="305">
        <f>'3.sz.m Önk  bev.'!N35</f>
        <v>0</v>
      </c>
      <c r="N37" s="305">
        <f>'3.sz.m Önk  bev.'!O35</f>
        <v>0</v>
      </c>
      <c r="O37" s="305">
        <f>'3.sz.m Önk  bev.'!P35</f>
        <v>0</v>
      </c>
      <c r="P37" s="240">
        <f>'3.sz.m Önk  bev.'!Q35</f>
        <v>0</v>
      </c>
      <c r="Q37" s="623" t="e">
        <f>P37/N37</f>
        <v>#DIV/0!</v>
      </c>
      <c r="R37" s="305">
        <v>0</v>
      </c>
      <c r="S37" s="305">
        <v>0</v>
      </c>
      <c r="T37" s="305">
        <v>0</v>
      </c>
      <c r="U37" s="305">
        <v>0</v>
      </c>
      <c r="V37" s="305">
        <v>0</v>
      </c>
      <c r="W37" s="240"/>
      <c r="X37" s="305">
        <v>0</v>
      </c>
      <c r="Y37" s="305">
        <v>0</v>
      </c>
      <c r="Z37" s="305">
        <v>0</v>
      </c>
      <c r="AA37" s="305">
        <v>0</v>
      </c>
      <c r="AB37" s="305">
        <v>0</v>
      </c>
      <c r="AC37" s="305">
        <v>0</v>
      </c>
      <c r="AD37" s="305">
        <v>0</v>
      </c>
      <c r="AE37" s="912"/>
    </row>
    <row r="38" spans="1:31" ht="21.75" customHeight="1">
      <c r="A38" s="62"/>
      <c r="B38" s="67" t="s">
        <v>67</v>
      </c>
      <c r="C38" s="1112" t="s">
        <v>350</v>
      </c>
      <c r="D38" s="1115"/>
      <c r="E38" s="305"/>
      <c r="F38" s="240"/>
      <c r="G38" s="240"/>
      <c r="H38" s="240"/>
      <c r="I38" s="240">
        <f>'3.sz.m Önk  bev.'!I36</f>
        <v>0</v>
      </c>
      <c r="J38" s="240">
        <f>'3.sz.m Önk  bev.'!J36</f>
        <v>0</v>
      </c>
      <c r="K38" s="305"/>
      <c r="L38" s="305"/>
      <c r="M38" s="305"/>
      <c r="N38" s="305"/>
      <c r="O38" s="305"/>
      <c r="P38" s="240"/>
      <c r="Q38" s="623"/>
      <c r="R38" s="305">
        <v>0</v>
      </c>
      <c r="S38" s="305">
        <v>0</v>
      </c>
      <c r="T38" s="305">
        <v>0</v>
      </c>
      <c r="U38" s="305">
        <v>0</v>
      </c>
      <c r="V38" s="305">
        <v>0</v>
      </c>
      <c r="W38" s="240"/>
      <c r="X38" s="305">
        <v>0</v>
      </c>
      <c r="Y38" s="305">
        <v>0</v>
      </c>
      <c r="Z38" s="305">
        <v>0</v>
      </c>
      <c r="AA38" s="305">
        <v>0</v>
      </c>
      <c r="AB38" s="305">
        <v>0</v>
      </c>
      <c r="AC38" s="305">
        <v>0</v>
      </c>
      <c r="AD38" s="305">
        <v>0</v>
      </c>
      <c r="AE38" s="912"/>
    </row>
    <row r="39" spans="1:31" ht="45.75" customHeight="1">
      <c r="A39" s="62"/>
      <c r="B39" s="67" t="s">
        <v>346</v>
      </c>
      <c r="C39" s="1112" t="s">
        <v>311</v>
      </c>
      <c r="D39" s="1115"/>
      <c r="E39" s="305">
        <f aca="true" t="shared" si="11" ref="E39:P39">SUM(E40:E42)</f>
        <v>65614099</v>
      </c>
      <c r="F39" s="240">
        <f t="shared" si="11"/>
        <v>65614099</v>
      </c>
      <c r="G39" s="240">
        <f t="shared" si="11"/>
        <v>68596511</v>
      </c>
      <c r="H39" s="240">
        <f>SUM(H40:H42)</f>
        <v>72435567</v>
      </c>
      <c r="I39" s="240">
        <f t="shared" si="11"/>
        <v>84890002</v>
      </c>
      <c r="J39" s="240">
        <f t="shared" si="11"/>
        <v>0</v>
      </c>
      <c r="K39" s="305">
        <f t="shared" si="11"/>
        <v>16569271</v>
      </c>
      <c r="L39" s="305">
        <f>SUM(L40:L42)</f>
        <v>16569271</v>
      </c>
      <c r="M39" s="305">
        <f>SUM(M40:M42)</f>
        <v>19551683</v>
      </c>
      <c r="N39" s="305">
        <f>SUM(N40:N42)</f>
        <v>23390739</v>
      </c>
      <c r="O39" s="305">
        <f>SUM(O40:O42)</f>
        <v>35845174</v>
      </c>
      <c r="P39" s="240">
        <f t="shared" si="11"/>
        <v>0</v>
      </c>
      <c r="Q39" s="623">
        <f>P39/N39</f>
        <v>0</v>
      </c>
      <c r="R39" s="305">
        <f>SUM(R40:R42)</f>
        <v>49044828</v>
      </c>
      <c r="S39" s="305">
        <f>SUM(S40:S42)</f>
        <v>49044828</v>
      </c>
      <c r="T39" s="305">
        <f>SUM(T40:T42)</f>
        <v>49044828</v>
      </c>
      <c r="U39" s="305">
        <f>SUM(U40:U42)</f>
        <v>49044828</v>
      </c>
      <c r="V39" s="305">
        <f>SUM(V40:V42)</f>
        <v>49044828</v>
      </c>
      <c r="W39" s="240"/>
      <c r="X39" s="305">
        <v>0</v>
      </c>
      <c r="Y39" s="305">
        <v>0</v>
      </c>
      <c r="Z39" s="305">
        <v>0</v>
      </c>
      <c r="AA39" s="305">
        <v>0</v>
      </c>
      <c r="AB39" s="305">
        <v>0</v>
      </c>
      <c r="AC39" s="305">
        <v>0</v>
      </c>
      <c r="AD39" s="305">
        <v>0</v>
      </c>
      <c r="AE39" s="912"/>
    </row>
    <row r="40" spans="1:31" ht="21.75" customHeight="1">
      <c r="A40" s="62"/>
      <c r="B40" s="67"/>
      <c r="C40" s="64" t="s">
        <v>347</v>
      </c>
      <c r="D40" s="505" t="s">
        <v>32</v>
      </c>
      <c r="E40" s="305">
        <f>'3.sz.m Önk  bev.'!E38</f>
        <v>8154000</v>
      </c>
      <c r="F40" s="240">
        <f>'3.sz.m Önk  bev.'!F38</f>
        <v>8154000</v>
      </c>
      <c r="G40" s="240">
        <f>'3.sz.m Önk  bev.'!G38</f>
        <v>8154000</v>
      </c>
      <c r="H40" s="240">
        <f>'3.sz.m Önk  bev.'!H38</f>
        <v>8154000</v>
      </c>
      <c r="I40" s="240">
        <f>'3.sz.m Önk  bev.'!I38</f>
        <v>10296700</v>
      </c>
      <c r="J40" s="240">
        <f>'3.sz.m Önk  bev.'!J38</f>
        <v>0</v>
      </c>
      <c r="K40" s="305">
        <f>'3.sz.m Önk  bev.'!L38</f>
        <v>8154000</v>
      </c>
      <c r="L40" s="305">
        <f>'3.sz.m Önk  bev.'!M38</f>
        <v>8154000</v>
      </c>
      <c r="M40" s="305">
        <f>'3.sz.m Önk  bev.'!N38</f>
        <v>8154000</v>
      </c>
      <c r="N40" s="305">
        <f>'3.sz.m Önk  bev.'!O38</f>
        <v>8154000</v>
      </c>
      <c r="O40" s="305">
        <f>'3.sz.m Önk  bev.'!P38</f>
        <v>10296700</v>
      </c>
      <c r="P40" s="240">
        <f>'3.sz.m Önk  bev.'!Q38</f>
        <v>0</v>
      </c>
      <c r="Q40" s="623">
        <f>P40/N40</f>
        <v>0</v>
      </c>
      <c r="R40" s="305">
        <v>0</v>
      </c>
      <c r="S40" s="305">
        <v>0</v>
      </c>
      <c r="T40" s="305">
        <v>0</v>
      </c>
      <c r="U40" s="305">
        <v>0</v>
      </c>
      <c r="V40" s="305">
        <v>0</v>
      </c>
      <c r="W40" s="240"/>
      <c r="X40" s="305">
        <v>0</v>
      </c>
      <c r="Y40" s="305">
        <v>0</v>
      </c>
      <c r="Z40" s="305">
        <v>0</v>
      </c>
      <c r="AA40" s="305">
        <v>0</v>
      </c>
      <c r="AB40" s="305">
        <v>0</v>
      </c>
      <c r="AC40" s="305">
        <v>0</v>
      </c>
      <c r="AD40" s="305">
        <v>0</v>
      </c>
      <c r="AE40" s="912"/>
    </row>
    <row r="41" spans="1:31" ht="21.75" customHeight="1">
      <c r="A41" s="62"/>
      <c r="B41" s="67"/>
      <c r="C41" s="58" t="s">
        <v>348</v>
      </c>
      <c r="D41" s="201" t="s">
        <v>31</v>
      </c>
      <c r="E41" s="305">
        <f>'3.sz.m Önk  bev.'!E39+'5.2 sz. m ÁMK'!D20</f>
        <v>49044828</v>
      </c>
      <c r="F41" s="240">
        <f>'3.sz.m Önk  bev.'!F39+'5.2 sz. m ÁMK'!E20</f>
        <v>49044828</v>
      </c>
      <c r="G41" s="240">
        <f>'3.sz.m Önk  bev.'!G39+'5.2 sz. m ÁMK'!F20</f>
        <v>49044828</v>
      </c>
      <c r="H41" s="240">
        <f>'3.sz.m Önk  bev.'!H39+'5.2 sz. m ÁMK'!G20</f>
        <v>49044828</v>
      </c>
      <c r="I41" s="240">
        <f>'3.sz.m Önk  bev.'!I39+'5.2 sz. m ÁMK'!H20</f>
        <v>55920719</v>
      </c>
      <c r="J41" s="240">
        <f>'3.sz.m Önk  bev.'!J39+'5.2 sz. m ÁMK'!I20</f>
        <v>0</v>
      </c>
      <c r="K41" s="305">
        <f>'3.sz.m Önk  bev.'!L39+'5.2 sz. m ÁMK'!L20</f>
        <v>0</v>
      </c>
      <c r="L41" s="305">
        <f>'3.sz.m Önk  bev.'!M39+'5.2 sz. m ÁMK'!M20</f>
        <v>0</v>
      </c>
      <c r="M41" s="305">
        <f>'3.sz.m Önk  bev.'!N39+'5.2 sz. m ÁMK'!N20</f>
        <v>0</v>
      </c>
      <c r="N41" s="305">
        <f>'3.sz.m Önk  bev.'!O39+'5.2 sz. m ÁMK'!O20</f>
        <v>0</v>
      </c>
      <c r="O41" s="305">
        <f>'3.sz.m Önk  bev.'!P39+'5.2 sz. m ÁMK'!P20</f>
        <v>6875891</v>
      </c>
      <c r="P41" s="240">
        <f>'3.sz.m Önk  bev.'!Q39+'5.2 sz. m ÁMK'!Q20</f>
        <v>0</v>
      </c>
      <c r="Q41" s="623"/>
      <c r="R41" s="304">
        <f>+'3.sz.m Önk  bev.'!S39</f>
        <v>49044828</v>
      </c>
      <c r="S41" s="304">
        <f>+'3.sz.m Önk  bev.'!T39</f>
        <v>49044828</v>
      </c>
      <c r="T41" s="304">
        <f>+'3.sz.m Önk  bev.'!U39</f>
        <v>49044828</v>
      </c>
      <c r="U41" s="304">
        <f>+'3.sz.m Önk  bev.'!V39</f>
        <v>49044828</v>
      </c>
      <c r="V41" s="304">
        <f>+'3.sz.m Önk  bev.'!W39</f>
        <v>49044828</v>
      </c>
      <c r="W41" s="240"/>
      <c r="X41" s="305">
        <v>0</v>
      </c>
      <c r="Y41" s="305">
        <v>0</v>
      </c>
      <c r="Z41" s="305">
        <v>0</v>
      </c>
      <c r="AA41" s="305">
        <v>0</v>
      </c>
      <c r="AB41" s="305">
        <v>0</v>
      </c>
      <c r="AC41" s="305">
        <v>0</v>
      </c>
      <c r="AD41" s="305">
        <v>0</v>
      </c>
      <c r="AE41" s="912"/>
    </row>
    <row r="42" spans="1:31" ht="21.75" customHeight="1" thickBot="1">
      <c r="A42" s="62"/>
      <c r="B42" s="67"/>
      <c r="C42" s="58" t="s">
        <v>349</v>
      </c>
      <c r="D42" s="201" t="s">
        <v>33</v>
      </c>
      <c r="E42" s="305">
        <f>'3.sz.m Önk  bev.'!E40+'5.1 sz. m Köz Hiv'!D16</f>
        <v>8415271</v>
      </c>
      <c r="F42" s="305">
        <f>'3.sz.m Önk  bev.'!F40+'5.1 sz. m Köz Hiv'!E16</f>
        <v>8415271</v>
      </c>
      <c r="G42" s="305">
        <f>'3.sz.m Önk  bev.'!G40+'5.1 sz. m Köz Hiv'!F16</f>
        <v>11397683</v>
      </c>
      <c r="H42" s="305">
        <f>'3.sz.m Önk  bev.'!H40+'5.1 sz. m Köz Hiv'!G16</f>
        <v>15236739</v>
      </c>
      <c r="I42" s="305">
        <f>'3.sz.m Önk  bev.'!I40+'5.1 sz. m Köz Hiv'!H16+'5.2 sz. m ÁMK'!H19</f>
        <v>18672583</v>
      </c>
      <c r="J42" s="305">
        <f>'3.sz.m Önk  bev.'!J40+'5.1 sz. m Köz Hiv'!I16+'5.2 sz. m ÁMK'!I19</f>
        <v>0</v>
      </c>
      <c r="K42" s="305">
        <f>'3.sz.m Önk  bev.'!L40+'5.1 sz. m Köz Hiv'!L16</f>
        <v>8415271</v>
      </c>
      <c r="L42" s="305">
        <f>'3.sz.m Önk  bev.'!M40+'5.1 sz. m Köz Hiv'!M16</f>
        <v>8415271</v>
      </c>
      <c r="M42" s="305">
        <f>'3.sz.m Önk  bev.'!N40+'5.1 sz. m Köz Hiv'!N16</f>
        <v>11397683</v>
      </c>
      <c r="N42" s="305">
        <f>'3.sz.m Önk  bev.'!O40+'5.1 sz. m Köz Hiv'!O16</f>
        <v>15236739</v>
      </c>
      <c r="O42" s="305">
        <f>'3.sz.m Önk  bev.'!P40+'5.1 sz. m Köz Hiv'!P16</f>
        <v>18672583</v>
      </c>
      <c r="P42" s="305">
        <f>'3.sz.m Önk  bev.'!Q40+'5.1 sz. m Köz Hiv'!Q16</f>
        <v>0</v>
      </c>
      <c r="Q42" s="305">
        <f>'3.sz.m Önk  bev.'!R40+'5.1 sz. m Köz Hiv'!R16</f>
        <v>0</v>
      </c>
      <c r="R42" s="305">
        <v>0</v>
      </c>
      <c r="S42" s="305">
        <v>0</v>
      </c>
      <c r="T42" s="305">
        <v>0</v>
      </c>
      <c r="U42" s="305">
        <v>0</v>
      </c>
      <c r="V42" s="305">
        <v>0</v>
      </c>
      <c r="W42" s="240"/>
      <c r="X42" s="305">
        <v>0</v>
      </c>
      <c r="Y42" s="305">
        <v>0</v>
      </c>
      <c r="Z42" s="305">
        <v>0</v>
      </c>
      <c r="AA42" s="305">
        <v>0</v>
      </c>
      <c r="AB42" s="305">
        <v>0</v>
      </c>
      <c r="AC42" s="305">
        <v>0</v>
      </c>
      <c r="AD42" s="305">
        <v>0</v>
      </c>
      <c r="AE42" s="912"/>
    </row>
    <row r="43" spans="1:31" ht="33" customHeight="1" thickBot="1">
      <c r="A43" s="69" t="s">
        <v>10</v>
      </c>
      <c r="B43" s="1120" t="s">
        <v>312</v>
      </c>
      <c r="C43" s="1120"/>
      <c r="D43" s="1120"/>
      <c r="E43" s="297">
        <f>SUM(E44:E45)</f>
        <v>20360661</v>
      </c>
      <c r="F43" s="72">
        <f>SUM(F44:F45)+F49</f>
        <v>20360661</v>
      </c>
      <c r="G43" s="72">
        <f>SUM(G44:G45)+G49</f>
        <v>20360661</v>
      </c>
      <c r="H43" s="72">
        <f>SUM(H44:H45)+H49</f>
        <v>111544661</v>
      </c>
      <c r="I43" s="72">
        <f>SUM(I44:I45)+I49</f>
        <v>146373972</v>
      </c>
      <c r="J43" s="72">
        <f>SUM(J44:J45)+J49</f>
        <v>0</v>
      </c>
      <c r="K43" s="297">
        <f>SUM(K44:K45)</f>
        <v>20360661</v>
      </c>
      <c r="L43" s="297">
        <f>SUM(L44:L45)</f>
        <v>20360661</v>
      </c>
      <c r="M43" s="297">
        <f>SUM(M44:M45)</f>
        <v>20360661</v>
      </c>
      <c r="N43" s="297">
        <f>SUM(N44:N45)</f>
        <v>111544661</v>
      </c>
      <c r="O43" s="297">
        <f>SUM(O44:O45)</f>
        <v>146373972</v>
      </c>
      <c r="P43" s="72">
        <f>SUM(P44:P45)+P49</f>
        <v>0</v>
      </c>
      <c r="Q43" s="621">
        <f>P43/N43</f>
        <v>0</v>
      </c>
      <c r="R43" s="297">
        <f>SUM(R44:R45)</f>
        <v>0</v>
      </c>
      <c r="S43" s="297">
        <f>SUM(S44:S45)</f>
        <v>0</v>
      </c>
      <c r="T43" s="297">
        <f>SUM(T44:T45)</f>
        <v>0</v>
      </c>
      <c r="U43" s="297">
        <f>SUM(U44:U45)</f>
        <v>0</v>
      </c>
      <c r="V43" s="297">
        <f>SUM(V44:V45)</f>
        <v>0</v>
      </c>
      <c r="W43" s="72">
        <f>SUM(W44:W45)+W49</f>
        <v>0</v>
      </c>
      <c r="X43" s="297">
        <f aca="true" t="shared" si="12" ref="X43:AD43">SUM(X44:X45)</f>
        <v>0</v>
      </c>
      <c r="Y43" s="297">
        <f>SUM(Y44:Y45)</f>
        <v>0</v>
      </c>
      <c r="Z43" s="297">
        <f>SUM(Z44:Z45)</f>
        <v>0</v>
      </c>
      <c r="AA43" s="297">
        <f>SUM(AA44:AA45)</f>
        <v>0</v>
      </c>
      <c r="AB43" s="297">
        <f>SUM(AB44:AB45)</f>
        <v>0</v>
      </c>
      <c r="AC43" s="297">
        <f t="shared" si="12"/>
        <v>0</v>
      </c>
      <c r="AD43" s="297">
        <f t="shared" si="12"/>
        <v>0</v>
      </c>
      <c r="AE43" s="912"/>
    </row>
    <row r="44" spans="1:31" ht="21.75" customHeight="1">
      <c r="A44" s="63"/>
      <c r="B44" s="70" t="s">
        <v>313</v>
      </c>
      <c r="C44" s="1124" t="s">
        <v>315</v>
      </c>
      <c r="D44" s="1124"/>
      <c r="E44" s="305">
        <f>'3.sz.m Önk  bev.'!E42</f>
        <v>0</v>
      </c>
      <c r="F44" s="240">
        <f>'3.sz.m Önk  bev.'!F42</f>
        <v>0</v>
      </c>
      <c r="G44" s="240">
        <f>'3.sz.m Önk  bev.'!G42</f>
        <v>0</v>
      </c>
      <c r="H44" s="240">
        <f>'3.sz.m Önk  bev.'!H42</f>
        <v>0</v>
      </c>
      <c r="I44" s="240">
        <f>'3.sz.m Önk  bev.'!I42</f>
        <v>0</v>
      </c>
      <c r="J44" s="240">
        <f>'3.sz.m Önk  bev.'!J42</f>
        <v>0</v>
      </c>
      <c r="K44" s="305">
        <f>'3.sz.m Önk  bev.'!L42</f>
        <v>0</v>
      </c>
      <c r="L44" s="305">
        <f>'3.sz.m Önk  bev.'!M42</f>
        <v>0</v>
      </c>
      <c r="M44" s="305">
        <f>'3.sz.m Önk  bev.'!N42</f>
        <v>0</v>
      </c>
      <c r="N44" s="305">
        <f>'3.sz.m Önk  bev.'!O42</f>
        <v>0</v>
      </c>
      <c r="O44" s="305">
        <f>'3.sz.m Önk  bev.'!P42</f>
        <v>0</v>
      </c>
      <c r="P44" s="240">
        <f>'3.sz.m Önk  bev.'!Q42</f>
        <v>0</v>
      </c>
      <c r="Q44" s="624"/>
      <c r="R44" s="305">
        <v>0</v>
      </c>
      <c r="S44" s="305">
        <v>0</v>
      </c>
      <c r="T44" s="305">
        <v>0</v>
      </c>
      <c r="U44" s="305">
        <v>0</v>
      </c>
      <c r="V44" s="305">
        <v>0</v>
      </c>
      <c r="W44" s="240"/>
      <c r="X44" s="305">
        <v>0</v>
      </c>
      <c r="Y44" s="305">
        <v>0</v>
      </c>
      <c r="Z44" s="305">
        <v>0</v>
      </c>
      <c r="AA44" s="305">
        <v>0</v>
      </c>
      <c r="AB44" s="305">
        <v>0</v>
      </c>
      <c r="AC44" s="305">
        <v>0</v>
      </c>
      <c r="AD44" s="305">
        <v>0</v>
      </c>
      <c r="AE44" s="912"/>
    </row>
    <row r="45" spans="1:31" ht="21.75" customHeight="1">
      <c r="A45" s="62"/>
      <c r="B45" s="59" t="s">
        <v>314</v>
      </c>
      <c r="C45" s="1112" t="s">
        <v>316</v>
      </c>
      <c r="D45" s="1112"/>
      <c r="E45" s="305">
        <f aca="true" t="shared" si="13" ref="E45:P45">SUM(E46:E48)</f>
        <v>20360661</v>
      </c>
      <c r="F45" s="240">
        <f t="shared" si="13"/>
        <v>20360661</v>
      </c>
      <c r="G45" s="240">
        <f t="shared" si="13"/>
        <v>20360661</v>
      </c>
      <c r="H45" s="240">
        <f>SUM(H46:H48)</f>
        <v>111544661</v>
      </c>
      <c r="I45" s="240">
        <f t="shared" si="13"/>
        <v>146373972</v>
      </c>
      <c r="J45" s="240">
        <f t="shared" si="13"/>
        <v>0</v>
      </c>
      <c r="K45" s="305">
        <f t="shared" si="13"/>
        <v>20360661</v>
      </c>
      <c r="L45" s="305">
        <f>SUM(L46:L48)</f>
        <v>20360661</v>
      </c>
      <c r="M45" s="305">
        <f>SUM(M46:M48)</f>
        <v>20360661</v>
      </c>
      <c r="N45" s="305">
        <f>SUM(N46:N48)</f>
        <v>111544661</v>
      </c>
      <c r="O45" s="305">
        <f>SUM(O46:O48)</f>
        <v>146373972</v>
      </c>
      <c r="P45" s="240">
        <f t="shared" si="13"/>
        <v>0</v>
      </c>
      <c r="Q45" s="605">
        <f>P45/N45</f>
        <v>0</v>
      </c>
      <c r="R45" s="305">
        <f>SUM(R46:R48)</f>
        <v>0</v>
      </c>
      <c r="S45" s="305">
        <f>SUM(S46:S48)</f>
        <v>0</v>
      </c>
      <c r="T45" s="305">
        <v>0</v>
      </c>
      <c r="U45" s="305">
        <v>0</v>
      </c>
      <c r="V45" s="305">
        <v>0</v>
      </c>
      <c r="W45" s="240"/>
      <c r="X45" s="305">
        <v>0</v>
      </c>
      <c r="Y45" s="305">
        <v>0</v>
      </c>
      <c r="Z45" s="305">
        <v>0</v>
      </c>
      <c r="AA45" s="305">
        <v>0</v>
      </c>
      <c r="AB45" s="305">
        <v>0</v>
      </c>
      <c r="AC45" s="305">
        <v>0</v>
      </c>
      <c r="AD45" s="305">
        <v>0</v>
      </c>
      <c r="AE45" s="912"/>
    </row>
    <row r="46" spans="1:31" ht="21.75" customHeight="1">
      <c r="A46" s="62"/>
      <c r="B46" s="70"/>
      <c r="C46" s="64" t="s">
        <v>317</v>
      </c>
      <c r="D46" s="505" t="s">
        <v>32</v>
      </c>
      <c r="E46" s="305">
        <f>'3.sz.m Önk  bev.'!E44</f>
        <v>0</v>
      </c>
      <c r="F46" s="240">
        <f>'3.sz.m Önk  bev.'!F44</f>
        <v>0</v>
      </c>
      <c r="G46" s="240">
        <f>'3.sz.m Önk  bev.'!G44</f>
        <v>0</v>
      </c>
      <c r="H46" s="240">
        <f>'3.sz.m Önk  bev.'!H44</f>
        <v>0</v>
      </c>
      <c r="I46" s="240">
        <f>'3.sz.m Önk  bev.'!I44</f>
        <v>0</v>
      </c>
      <c r="J46" s="240">
        <f>'3.sz.m Önk  bev.'!J44</f>
        <v>0</v>
      </c>
      <c r="K46" s="305">
        <f>'3.sz.m Önk  bev.'!L44</f>
        <v>0</v>
      </c>
      <c r="L46" s="305">
        <f>'3.sz.m Önk  bev.'!M44</f>
        <v>0</v>
      </c>
      <c r="M46" s="305">
        <f>'3.sz.m Önk  bev.'!N44</f>
        <v>0</v>
      </c>
      <c r="N46" s="305">
        <f>'3.sz.m Önk  bev.'!O44</f>
        <v>0</v>
      </c>
      <c r="O46" s="305">
        <f>'3.sz.m Önk  bev.'!P44</f>
        <v>0</v>
      </c>
      <c r="P46" s="240">
        <f>'3.sz.m Önk  bev.'!Q44</f>
        <v>0</v>
      </c>
      <c r="Q46" s="605"/>
      <c r="R46" s="305">
        <v>0</v>
      </c>
      <c r="S46" s="305">
        <v>0</v>
      </c>
      <c r="T46" s="305">
        <v>0</v>
      </c>
      <c r="U46" s="305">
        <v>0</v>
      </c>
      <c r="V46" s="305">
        <v>0</v>
      </c>
      <c r="W46" s="240"/>
      <c r="X46" s="305">
        <v>0</v>
      </c>
      <c r="Y46" s="305">
        <v>0</v>
      </c>
      <c r="Z46" s="305">
        <v>0</v>
      </c>
      <c r="AA46" s="305">
        <v>0</v>
      </c>
      <c r="AB46" s="305">
        <v>0</v>
      </c>
      <c r="AC46" s="305">
        <v>0</v>
      </c>
      <c r="AD46" s="305">
        <v>0</v>
      </c>
      <c r="AE46" s="912"/>
    </row>
    <row r="47" spans="1:31" ht="21.75" customHeight="1">
      <c r="A47" s="62"/>
      <c r="B47" s="59"/>
      <c r="C47" s="58" t="s">
        <v>318</v>
      </c>
      <c r="D47" s="505" t="s">
        <v>31</v>
      </c>
      <c r="E47" s="305">
        <f>'3.sz.m Önk  bev.'!E45</f>
        <v>20360661</v>
      </c>
      <c r="F47" s="240">
        <f>'3.sz.m Önk  bev.'!F45</f>
        <v>20360661</v>
      </c>
      <c r="G47" s="240">
        <f>'3.sz.m Önk  bev.'!G45</f>
        <v>20360661</v>
      </c>
      <c r="H47" s="240">
        <f>'3.sz.m Önk  bev.'!H45</f>
        <v>20360661</v>
      </c>
      <c r="I47" s="240">
        <f>'3.sz.m Önk  bev.'!I45</f>
        <v>20360661</v>
      </c>
      <c r="J47" s="240">
        <f>'3.sz.m Önk  bev.'!J45</f>
        <v>0</v>
      </c>
      <c r="K47" s="305">
        <f>'3.sz.m Önk  bev.'!L45</f>
        <v>20360661</v>
      </c>
      <c r="L47" s="305">
        <f>'3.sz.m Önk  bev.'!M45</f>
        <v>20360661</v>
      </c>
      <c r="M47" s="305">
        <f>'3.sz.m Önk  bev.'!N45</f>
        <v>20360661</v>
      </c>
      <c r="N47" s="305">
        <f>'3.sz.m Önk  bev.'!O45</f>
        <v>20360661</v>
      </c>
      <c r="O47" s="305">
        <f>'3.sz.m Önk  bev.'!P45</f>
        <v>20360661</v>
      </c>
      <c r="P47" s="240">
        <f>'3.sz.m Önk  bev.'!Q45</f>
        <v>0</v>
      </c>
      <c r="Q47" s="605"/>
      <c r="R47" s="304">
        <f>+'3.sz.m Önk  bev.'!S45</f>
        <v>0</v>
      </c>
      <c r="S47" s="304">
        <f>+'3.sz.m Önk  bev.'!T45</f>
        <v>0</v>
      </c>
      <c r="T47" s="304">
        <f>+'3.sz.m Önk  bev.'!U45</f>
        <v>0</v>
      </c>
      <c r="U47" s="304">
        <f>+'3.sz.m Önk  bev.'!V45</f>
        <v>0</v>
      </c>
      <c r="V47" s="304">
        <f>+'3.sz.m Önk  bev.'!W45</f>
        <v>0</v>
      </c>
      <c r="W47" s="240"/>
      <c r="X47" s="305">
        <v>0</v>
      </c>
      <c r="Y47" s="305">
        <v>0</v>
      </c>
      <c r="Z47" s="305">
        <v>0</v>
      </c>
      <c r="AA47" s="305">
        <v>0</v>
      </c>
      <c r="AB47" s="305">
        <v>0</v>
      </c>
      <c r="AC47" s="305">
        <v>0</v>
      </c>
      <c r="AD47" s="305">
        <v>0</v>
      </c>
      <c r="AE47" s="912"/>
    </row>
    <row r="48" spans="1:31" ht="21.75" customHeight="1">
      <c r="A48" s="66"/>
      <c r="B48" s="70"/>
      <c r="C48" s="64" t="s">
        <v>319</v>
      </c>
      <c r="D48" s="505" t="s">
        <v>320</v>
      </c>
      <c r="E48" s="305">
        <f>'3.sz.m Önk  bev.'!E46</f>
        <v>0</v>
      </c>
      <c r="F48" s="240">
        <f>'3.sz.m Önk  bev.'!F46</f>
        <v>0</v>
      </c>
      <c r="G48" s="240">
        <f>'3.sz.m Önk  bev.'!G46</f>
        <v>0</v>
      </c>
      <c r="H48" s="240">
        <f>'3.sz.m Önk  bev.'!H46</f>
        <v>91184000</v>
      </c>
      <c r="I48" s="240">
        <f>'3.sz.m Önk  bev.'!I46</f>
        <v>126013311</v>
      </c>
      <c r="J48" s="240">
        <f>'3.sz.m Önk  bev.'!J46</f>
        <v>0</v>
      </c>
      <c r="K48" s="305">
        <f>'3.sz.m Önk  bev.'!L46</f>
        <v>0</v>
      </c>
      <c r="L48" s="305">
        <f>'3.sz.m Önk  bev.'!M46</f>
        <v>0</v>
      </c>
      <c r="M48" s="305">
        <f>'3.sz.m Önk  bev.'!N46</f>
        <v>0</v>
      </c>
      <c r="N48" s="305">
        <f>'3.sz.m Önk  bev.'!O46</f>
        <v>91184000</v>
      </c>
      <c r="O48" s="305">
        <f>'3.sz.m Önk  bev.'!P46</f>
        <v>126013311</v>
      </c>
      <c r="P48" s="240">
        <f>'3.sz.m Önk  bev.'!Q46</f>
        <v>0</v>
      </c>
      <c r="Q48" s="605">
        <f>P48/N48</f>
        <v>0</v>
      </c>
      <c r="R48" s="305">
        <v>0</v>
      </c>
      <c r="S48" s="305">
        <v>0</v>
      </c>
      <c r="T48" s="305">
        <v>0</v>
      </c>
      <c r="U48" s="305">
        <v>0</v>
      </c>
      <c r="V48" s="305">
        <v>0</v>
      </c>
      <c r="W48" s="240"/>
      <c r="X48" s="305">
        <v>0</v>
      </c>
      <c r="Y48" s="305">
        <v>0</v>
      </c>
      <c r="Z48" s="305">
        <v>0</v>
      </c>
      <c r="AA48" s="305">
        <v>0</v>
      </c>
      <c r="AB48" s="305">
        <v>0</v>
      </c>
      <c r="AC48" s="305">
        <v>0</v>
      </c>
      <c r="AD48" s="305">
        <v>0</v>
      </c>
      <c r="AE48" s="912"/>
    </row>
    <row r="49" spans="1:31" ht="21.75" customHeight="1" thickBot="1">
      <c r="A49" s="309"/>
      <c r="B49" s="59" t="s">
        <v>343</v>
      </c>
      <c r="C49" s="1112" t="s">
        <v>475</v>
      </c>
      <c r="D49" s="1112"/>
      <c r="E49" s="305"/>
      <c r="F49" s="240">
        <f>'3.sz.m Önk  bev.'!F47</f>
        <v>0</v>
      </c>
      <c r="G49" s="240">
        <f>'3.sz.m Önk  bev.'!G47</f>
        <v>0</v>
      </c>
      <c r="H49" s="240">
        <f>'3.sz.m Önk  bev.'!H47</f>
        <v>0</v>
      </c>
      <c r="I49" s="240">
        <f>'3.sz.m Önk  bev.'!I47</f>
        <v>0</v>
      </c>
      <c r="J49" s="240">
        <f>'3.sz.m Önk  bev.'!J47</f>
        <v>0</v>
      </c>
      <c r="K49" s="305"/>
      <c r="L49" s="305"/>
      <c r="M49" s="305"/>
      <c r="N49" s="305"/>
      <c r="O49" s="305"/>
      <c r="P49" s="240">
        <f>'3.sz.m Önk  bev.'!Q47</f>
        <v>0</v>
      </c>
      <c r="Q49" s="605"/>
      <c r="R49" s="305">
        <v>0</v>
      </c>
      <c r="S49" s="305">
        <v>0</v>
      </c>
      <c r="T49" s="305">
        <v>0</v>
      </c>
      <c r="U49" s="305">
        <v>0</v>
      </c>
      <c r="V49" s="305">
        <v>0</v>
      </c>
      <c r="W49" s="240">
        <f>'3.sz.m Önk  bev.'!X47</f>
        <v>0</v>
      </c>
      <c r="X49" s="305">
        <v>0</v>
      </c>
      <c r="Y49" s="305">
        <v>0</v>
      </c>
      <c r="Z49" s="305">
        <v>0</v>
      </c>
      <c r="AA49" s="305">
        <v>0</v>
      </c>
      <c r="AB49" s="305">
        <v>0</v>
      </c>
      <c r="AC49" s="305">
        <v>0</v>
      </c>
      <c r="AD49" s="305">
        <v>0</v>
      </c>
      <c r="AE49" s="912"/>
    </row>
    <row r="50" spans="1:31" ht="21.75" customHeight="1" hidden="1" thickBot="1">
      <c r="A50" s="309"/>
      <c r="B50" s="70"/>
      <c r="C50" s="1118"/>
      <c r="D50" s="1119"/>
      <c r="E50" s="453"/>
      <c r="F50" s="454"/>
      <c r="G50" s="454"/>
      <c r="H50" s="454"/>
      <c r="I50" s="454"/>
      <c r="J50" s="454"/>
      <c r="K50" s="453"/>
      <c r="L50" s="453"/>
      <c r="M50" s="453"/>
      <c r="N50" s="453"/>
      <c r="O50" s="453"/>
      <c r="P50" s="454"/>
      <c r="Q50" s="606" t="e">
        <f>P50/N50</f>
        <v>#DIV/0!</v>
      </c>
      <c r="R50" s="453"/>
      <c r="S50" s="453"/>
      <c r="T50" s="453"/>
      <c r="U50" s="453"/>
      <c r="V50" s="453"/>
      <c r="W50" s="454"/>
      <c r="X50" s="453"/>
      <c r="Y50" s="453"/>
      <c r="Z50" s="453"/>
      <c r="AA50" s="453"/>
      <c r="AB50" s="453"/>
      <c r="AC50" s="453"/>
      <c r="AD50" s="453"/>
      <c r="AE50" s="912"/>
    </row>
    <row r="51" spans="1:31" ht="21.75" customHeight="1" thickBot="1">
      <c r="A51" s="69" t="s">
        <v>11</v>
      </c>
      <c r="B51" s="1120" t="s">
        <v>73</v>
      </c>
      <c r="C51" s="1120"/>
      <c r="D51" s="1120"/>
      <c r="E51" s="297">
        <f aca="true" t="shared" si="14" ref="E51:P51">E52+E53</f>
        <v>60000</v>
      </c>
      <c r="F51" s="72">
        <f t="shared" si="14"/>
        <v>75000</v>
      </c>
      <c r="G51" s="72">
        <f t="shared" si="14"/>
        <v>120000</v>
      </c>
      <c r="H51" s="72">
        <f>H52+H53</f>
        <v>260000</v>
      </c>
      <c r="I51" s="72">
        <f t="shared" si="14"/>
        <v>260000</v>
      </c>
      <c r="J51" s="72">
        <f t="shared" si="14"/>
        <v>0</v>
      </c>
      <c r="K51" s="297">
        <f t="shared" si="14"/>
        <v>60000</v>
      </c>
      <c r="L51" s="297">
        <f>L52+L53</f>
        <v>75000</v>
      </c>
      <c r="M51" s="297">
        <f>M52+M53</f>
        <v>120000</v>
      </c>
      <c r="N51" s="297">
        <f>N52+N53</f>
        <v>260000</v>
      </c>
      <c r="O51" s="297">
        <f>O52+O53</f>
        <v>260000</v>
      </c>
      <c r="P51" s="72">
        <f t="shared" si="14"/>
        <v>0</v>
      </c>
      <c r="Q51" s="621">
        <f>P51/N51</f>
        <v>0</v>
      </c>
      <c r="R51" s="297">
        <f>R52+R53</f>
        <v>0</v>
      </c>
      <c r="S51" s="297">
        <f>S52+S53</f>
        <v>0</v>
      </c>
      <c r="T51" s="297">
        <f>T52+T53</f>
        <v>0</v>
      </c>
      <c r="U51" s="297">
        <f>U52+U53</f>
        <v>0</v>
      </c>
      <c r="V51" s="297">
        <f>V52+V53</f>
        <v>0</v>
      </c>
      <c r="W51" s="72">
        <f>W52+W53</f>
        <v>0</v>
      </c>
      <c r="X51" s="297">
        <f aca="true" t="shared" si="15" ref="X51:AD51">X52+X53</f>
        <v>0</v>
      </c>
      <c r="Y51" s="297">
        <f>Y52+Y53</f>
        <v>0</v>
      </c>
      <c r="Z51" s="297">
        <f>Z52+Z53</f>
        <v>0</v>
      </c>
      <c r="AA51" s="297">
        <f>AA52+AA53</f>
        <v>0</v>
      </c>
      <c r="AB51" s="297">
        <f>AB52+AB53</f>
        <v>0</v>
      </c>
      <c r="AC51" s="297">
        <f t="shared" si="15"/>
        <v>0</v>
      </c>
      <c r="AD51" s="297">
        <f t="shared" si="15"/>
        <v>0</v>
      </c>
      <c r="AE51" s="912"/>
    </row>
    <row r="52" spans="1:31" s="6" customFormat="1" ht="21.75" customHeight="1">
      <c r="A52" s="71"/>
      <c r="B52" s="70" t="s">
        <v>43</v>
      </c>
      <c r="C52" s="1124" t="s">
        <v>332</v>
      </c>
      <c r="D52" s="1124"/>
      <c r="E52" s="305">
        <f>'3.sz.m Önk  bev.'!E50</f>
        <v>60000</v>
      </c>
      <c r="F52" s="240">
        <f>'3.sz.m Önk  bev.'!F50</f>
        <v>75000</v>
      </c>
      <c r="G52" s="240">
        <f>'3.sz.m Önk  bev.'!G50</f>
        <v>120000</v>
      </c>
      <c r="H52" s="240">
        <f>'3.sz.m Önk  bev.'!H50</f>
        <v>160000</v>
      </c>
      <c r="I52" s="240">
        <f>'3.sz.m Önk  bev.'!I50+'5.2 sz. m ÁMK'!H24</f>
        <v>160000</v>
      </c>
      <c r="J52" s="240">
        <f>'3.sz.m Önk  bev.'!J50+'5.2 sz. m ÁMK'!I24</f>
        <v>0</v>
      </c>
      <c r="K52" s="305">
        <f>'3.sz.m Önk  bev.'!L50</f>
        <v>60000</v>
      </c>
      <c r="L52" s="305">
        <f>'3.sz.m Önk  bev.'!M50</f>
        <v>75000</v>
      </c>
      <c r="M52" s="305">
        <f>'3.sz.m Önk  bev.'!N50</f>
        <v>120000</v>
      </c>
      <c r="N52" s="305">
        <f>'3.sz.m Önk  bev.'!O50</f>
        <v>160000</v>
      </c>
      <c r="O52" s="305">
        <f>'3.sz.m Önk  bev.'!P50</f>
        <v>160000</v>
      </c>
      <c r="P52" s="305">
        <f>'3.sz.m Önk  bev.'!Q50+'5.2 sz. m ÁMK'!I24</f>
        <v>0</v>
      </c>
      <c r="Q52" s="605">
        <f>P52/N52</f>
        <v>0</v>
      </c>
      <c r="R52" s="305">
        <v>0</v>
      </c>
      <c r="S52" s="305">
        <v>0</v>
      </c>
      <c r="T52" s="305">
        <v>0</v>
      </c>
      <c r="U52" s="305">
        <v>0</v>
      </c>
      <c r="V52" s="305">
        <v>0</v>
      </c>
      <c r="W52" s="240"/>
      <c r="X52" s="305">
        <v>0</v>
      </c>
      <c r="Y52" s="305">
        <v>0</v>
      </c>
      <c r="Z52" s="305">
        <v>0</v>
      </c>
      <c r="AA52" s="305">
        <v>0</v>
      </c>
      <c r="AB52" s="305">
        <v>0</v>
      </c>
      <c r="AC52" s="305">
        <v>0</v>
      </c>
      <c r="AD52" s="305">
        <v>0</v>
      </c>
      <c r="AE52" s="912"/>
    </row>
    <row r="53" spans="1:31" ht="21.75" customHeight="1" thickBot="1">
      <c r="A53" s="62"/>
      <c r="B53" s="58" t="s">
        <v>44</v>
      </c>
      <c r="C53" s="1112" t="s">
        <v>461</v>
      </c>
      <c r="D53" s="1112"/>
      <c r="E53" s="305">
        <f>'3.sz.m Önk  bev.'!E51</f>
        <v>0</v>
      </c>
      <c r="F53" s="240">
        <f>'3.sz.m Önk  bev.'!F51</f>
        <v>0</v>
      </c>
      <c r="G53" s="240">
        <f>'3.sz.m Önk  bev.'!G51</f>
        <v>0</v>
      </c>
      <c r="H53" s="240">
        <f>'3.sz.m Önk  bev.'!H51</f>
        <v>100000</v>
      </c>
      <c r="I53" s="240">
        <f>'3.sz.m Önk  bev.'!I51</f>
        <v>100000</v>
      </c>
      <c r="J53" s="240">
        <f>'3.sz.m Önk  bev.'!J51</f>
        <v>0</v>
      </c>
      <c r="K53" s="305">
        <f>'3.sz.m Önk  bev.'!L51</f>
        <v>0</v>
      </c>
      <c r="L53" s="305">
        <f>'3.sz.m Önk  bev.'!M51</f>
        <v>0</v>
      </c>
      <c r="M53" s="305">
        <f>'3.sz.m Önk  bev.'!N51</f>
        <v>0</v>
      </c>
      <c r="N53" s="305">
        <f>'3.sz.m Önk  bev.'!O51</f>
        <v>100000</v>
      </c>
      <c r="O53" s="305">
        <f>'3.sz.m Önk  bev.'!P51</f>
        <v>100000</v>
      </c>
      <c r="P53" s="240">
        <f>'3.sz.m Önk  bev.'!Q51</f>
        <v>0</v>
      </c>
      <c r="Q53" s="625"/>
      <c r="R53" s="305">
        <v>0</v>
      </c>
      <c r="S53" s="305">
        <v>0</v>
      </c>
      <c r="T53" s="305">
        <v>0</v>
      </c>
      <c r="U53" s="305">
        <v>0</v>
      </c>
      <c r="V53" s="305">
        <v>0</v>
      </c>
      <c r="W53" s="240"/>
      <c r="X53" s="305">
        <v>0</v>
      </c>
      <c r="Y53" s="305">
        <v>0</v>
      </c>
      <c r="Z53" s="305">
        <v>0</v>
      </c>
      <c r="AA53" s="305">
        <v>0</v>
      </c>
      <c r="AB53" s="305">
        <v>0</v>
      </c>
      <c r="AC53" s="305">
        <v>0</v>
      </c>
      <c r="AD53" s="305">
        <v>0</v>
      </c>
      <c r="AE53" s="912"/>
    </row>
    <row r="54" spans="1:31" ht="21.75" customHeight="1" thickBot="1">
      <c r="A54" s="69" t="s">
        <v>12</v>
      </c>
      <c r="B54" s="1120" t="s">
        <v>321</v>
      </c>
      <c r="C54" s="1120"/>
      <c r="D54" s="1120"/>
      <c r="E54" s="293">
        <f aca="true" t="shared" si="16" ref="E54:P54">SUM(E55:E56)</f>
        <v>0</v>
      </c>
      <c r="F54" s="39">
        <f t="shared" si="16"/>
        <v>0</v>
      </c>
      <c r="G54" s="39">
        <f t="shared" si="16"/>
        <v>0</v>
      </c>
      <c r="H54" s="39">
        <f>SUM(H55:H56)</f>
        <v>0</v>
      </c>
      <c r="I54" s="39">
        <f t="shared" si="16"/>
        <v>472441</v>
      </c>
      <c r="J54" s="39">
        <f t="shared" si="16"/>
        <v>0</v>
      </c>
      <c r="K54" s="293">
        <f t="shared" si="16"/>
        <v>0</v>
      </c>
      <c r="L54" s="293">
        <f>SUM(L55:L56)</f>
        <v>0</v>
      </c>
      <c r="M54" s="293">
        <f>SUM(M55:M56)</f>
        <v>0</v>
      </c>
      <c r="N54" s="293">
        <f>SUM(N55:N56)</f>
        <v>0</v>
      </c>
      <c r="O54" s="293">
        <f>SUM(O55:O56)</f>
        <v>472441</v>
      </c>
      <c r="P54" s="39">
        <f t="shared" si="16"/>
        <v>0</v>
      </c>
      <c r="Q54" s="621" t="e">
        <f>P54/N54</f>
        <v>#DIV/0!</v>
      </c>
      <c r="R54" s="293">
        <f>SUM(R55:R56)</f>
        <v>0</v>
      </c>
      <c r="S54" s="293">
        <f>SUM(S55:S56)</f>
        <v>0</v>
      </c>
      <c r="T54" s="293">
        <f>SUM(T55:T56)</f>
        <v>0</v>
      </c>
      <c r="U54" s="293">
        <f>SUM(U55:U56)</f>
        <v>0</v>
      </c>
      <c r="V54" s="293">
        <f>SUM(V55:V56)</f>
        <v>0</v>
      </c>
      <c r="W54" s="39">
        <f>SUM(W55:W56)</f>
        <v>0</v>
      </c>
      <c r="X54" s="293">
        <f aca="true" t="shared" si="17" ref="X54:AD54">SUM(X55:X56)</f>
        <v>0</v>
      </c>
      <c r="Y54" s="293">
        <f>SUM(Y55:Y56)</f>
        <v>0</v>
      </c>
      <c r="Z54" s="293">
        <f>SUM(Z55:Z56)</f>
        <v>0</v>
      </c>
      <c r="AA54" s="293">
        <f>SUM(AA55:AA56)</f>
        <v>0</v>
      </c>
      <c r="AB54" s="293">
        <f>SUM(AB55:AB56)</f>
        <v>0</v>
      </c>
      <c r="AC54" s="293">
        <f t="shared" si="17"/>
        <v>0</v>
      </c>
      <c r="AD54" s="293">
        <f t="shared" si="17"/>
        <v>0</v>
      </c>
      <c r="AE54" s="912"/>
    </row>
    <row r="55" spans="1:31" s="6" customFormat="1" ht="21.75" customHeight="1">
      <c r="A55" s="71"/>
      <c r="B55" s="64" t="s">
        <v>45</v>
      </c>
      <c r="C55" s="1124" t="s">
        <v>323</v>
      </c>
      <c r="D55" s="1124"/>
      <c r="E55" s="306">
        <f>'3.sz.m Önk  bev.'!E53</f>
        <v>0</v>
      </c>
      <c r="F55" s="241">
        <f>'3.sz.m Önk  bev.'!F53</f>
        <v>0</v>
      </c>
      <c r="G55" s="241">
        <f>'3.sz.m Önk  bev.'!G53</f>
        <v>0</v>
      </c>
      <c r="H55" s="241">
        <f>'3.sz.m Önk  bev.'!H53</f>
        <v>0</v>
      </c>
      <c r="I55" s="241">
        <f>'3.sz.m Önk  bev.'!I53</f>
        <v>472441</v>
      </c>
      <c r="J55" s="241">
        <f>'3.sz.m Önk  bev.'!J53</f>
        <v>0</v>
      </c>
      <c r="K55" s="306">
        <f>'3.sz.m Önk  bev.'!L53</f>
        <v>0</v>
      </c>
      <c r="L55" s="306">
        <f>'3.sz.m Önk  bev.'!M53</f>
        <v>0</v>
      </c>
      <c r="M55" s="306">
        <f>'3.sz.m Önk  bev.'!N53</f>
        <v>0</v>
      </c>
      <c r="N55" s="306">
        <f>'3.sz.m Önk  bev.'!O53</f>
        <v>0</v>
      </c>
      <c r="O55" s="306">
        <f>'3.sz.m Önk  bev.'!P53</f>
        <v>472441</v>
      </c>
      <c r="P55" s="241">
        <f>'3.sz.m Önk  bev.'!Q53</f>
        <v>0</v>
      </c>
      <c r="Q55" s="605" t="e">
        <f>P55/N55</f>
        <v>#DIV/0!</v>
      </c>
      <c r="R55" s="306">
        <v>0</v>
      </c>
      <c r="S55" s="306">
        <v>0</v>
      </c>
      <c r="T55" s="306">
        <v>0</v>
      </c>
      <c r="U55" s="306">
        <v>0</v>
      </c>
      <c r="V55" s="306">
        <v>0</v>
      </c>
      <c r="W55" s="241"/>
      <c r="X55" s="306">
        <v>0</v>
      </c>
      <c r="Y55" s="306">
        <v>0</v>
      </c>
      <c r="Z55" s="306">
        <v>0</v>
      </c>
      <c r="AA55" s="306">
        <v>0</v>
      </c>
      <c r="AB55" s="306">
        <v>0</v>
      </c>
      <c r="AC55" s="306">
        <v>0</v>
      </c>
      <c r="AD55" s="306">
        <v>0</v>
      </c>
      <c r="AE55" s="912"/>
    </row>
    <row r="56" spans="1:31" ht="21.75" customHeight="1" thickBot="1">
      <c r="A56" s="66"/>
      <c r="B56" s="67" t="s">
        <v>322</v>
      </c>
      <c r="C56" s="1125" t="s">
        <v>324</v>
      </c>
      <c r="D56" s="1125"/>
      <c r="E56" s="298">
        <v>0</v>
      </c>
      <c r="F56" s="86">
        <v>0</v>
      </c>
      <c r="G56" s="86">
        <v>0</v>
      </c>
      <c r="H56" s="86">
        <v>0</v>
      </c>
      <c r="I56" s="86">
        <v>0</v>
      </c>
      <c r="J56" s="86">
        <v>0</v>
      </c>
      <c r="K56" s="298">
        <v>0</v>
      </c>
      <c r="L56" s="298">
        <v>0</v>
      </c>
      <c r="M56" s="298">
        <v>0</v>
      </c>
      <c r="N56" s="298">
        <v>0</v>
      </c>
      <c r="O56" s="298">
        <v>0</v>
      </c>
      <c r="P56" s="86"/>
      <c r="Q56" s="628"/>
      <c r="R56" s="298">
        <v>0</v>
      </c>
      <c r="S56" s="298">
        <v>0</v>
      </c>
      <c r="T56" s="298">
        <v>0</v>
      </c>
      <c r="U56" s="298">
        <v>0</v>
      </c>
      <c r="V56" s="298">
        <v>0</v>
      </c>
      <c r="W56" s="86"/>
      <c r="X56" s="298">
        <v>0</v>
      </c>
      <c r="Y56" s="298">
        <v>0</v>
      </c>
      <c r="Z56" s="298">
        <v>0</v>
      </c>
      <c r="AA56" s="298">
        <v>0</v>
      </c>
      <c r="AB56" s="298">
        <v>0</v>
      </c>
      <c r="AC56" s="298">
        <v>0</v>
      </c>
      <c r="AD56" s="298">
        <v>0</v>
      </c>
      <c r="AE56" s="912"/>
    </row>
    <row r="57" spans="1:31" ht="21.75" customHeight="1" thickBot="1">
      <c r="A57" s="69" t="s">
        <v>13</v>
      </c>
      <c r="B57" s="1131" t="s">
        <v>75</v>
      </c>
      <c r="C57" s="1131"/>
      <c r="D57" s="1131"/>
      <c r="E57" s="293">
        <f aca="true" t="shared" si="18" ref="E57:P57">E7+E21+E43+E51+E54+E34</f>
        <v>627235218</v>
      </c>
      <c r="F57" s="39">
        <f t="shared" si="18"/>
        <v>627507720</v>
      </c>
      <c r="G57" s="39">
        <f>G7+G21+G43+G51+G54+G34</f>
        <v>630772488</v>
      </c>
      <c r="H57" s="39">
        <f>H7+H21+H43+H51+H54+H34</f>
        <v>752153116</v>
      </c>
      <c r="I57" s="39">
        <f t="shared" si="18"/>
        <v>839335024</v>
      </c>
      <c r="J57" s="39">
        <f t="shared" si="18"/>
        <v>0</v>
      </c>
      <c r="K57" s="293">
        <f t="shared" si="18"/>
        <v>548522616</v>
      </c>
      <c r="L57" s="293">
        <f>L7+L21+L43+L51+L54+L34</f>
        <v>548795118</v>
      </c>
      <c r="M57" s="293">
        <f>M7+M21+M43+M51+M54+M34</f>
        <v>551849886</v>
      </c>
      <c r="N57" s="293">
        <f>N7+N21+N43+N51+N54+N34</f>
        <v>671500514</v>
      </c>
      <c r="O57" s="293">
        <f>O7+O21+O43+O51+O54+O34</f>
        <v>762591516</v>
      </c>
      <c r="P57" s="39">
        <f t="shared" si="18"/>
        <v>-20150631</v>
      </c>
      <c r="Q57" s="626">
        <f>P57/N57</f>
        <v>-0.03000836273373277</v>
      </c>
      <c r="R57" s="293">
        <f>R7+R21+R43+R51+R54+R34</f>
        <v>78712602</v>
      </c>
      <c r="S57" s="293">
        <f>S7+S21+S43+S51+S54+S34</f>
        <v>78712602</v>
      </c>
      <c r="T57" s="293">
        <f>T7+T21+T43+T51+T54+T34</f>
        <v>78922602</v>
      </c>
      <c r="U57" s="293">
        <f>U7+U21+U43+U51+U54+U34</f>
        <v>80652602</v>
      </c>
      <c r="V57" s="293">
        <f>V7+V21+V43+V51+V54+V34</f>
        <v>76743508</v>
      </c>
      <c r="W57" s="39">
        <f>W7+W21+W43+W51+W54+W34</f>
        <v>20150631</v>
      </c>
      <c r="X57" s="293">
        <f aca="true" t="shared" si="19" ref="X57:AD57">X7+X21+X43+X51+X54+X34</f>
        <v>6843890</v>
      </c>
      <c r="Y57" s="293">
        <f>Y7+Y21+Y43+Y51+Y54+Y34</f>
        <v>6843890</v>
      </c>
      <c r="Z57" s="293">
        <f>Z7+Z21+Z43+Z51+Z54+Z34</f>
        <v>6843890</v>
      </c>
      <c r="AA57" s="293">
        <f>AA7+AA21+AA43+AA51+AA54+AA34</f>
        <v>6843890</v>
      </c>
      <c r="AB57" s="293">
        <f>AB7+AB21+AB43+AB51+AB54+AB34</f>
        <v>6843890</v>
      </c>
      <c r="AC57" s="293">
        <f t="shared" si="19"/>
        <v>5610894</v>
      </c>
      <c r="AD57" s="293">
        <f t="shared" si="19"/>
        <v>5610894</v>
      </c>
      <c r="AE57" s="912"/>
    </row>
    <row r="58" spans="1:31" ht="24" customHeight="1" thickBot="1">
      <c r="A58" s="65" t="s">
        <v>56</v>
      </c>
      <c r="B58" s="1120" t="s">
        <v>325</v>
      </c>
      <c r="C58" s="1120"/>
      <c r="D58" s="1120"/>
      <c r="E58" s="293">
        <f aca="true" t="shared" si="20" ref="E58:P58">SUM(E59:E61)</f>
        <v>192197217</v>
      </c>
      <c r="F58" s="39">
        <f t="shared" si="20"/>
        <v>192197217</v>
      </c>
      <c r="G58" s="39">
        <f t="shared" si="20"/>
        <v>192197217</v>
      </c>
      <c r="H58" s="39">
        <f>SUM(H59:H61)</f>
        <v>192197217</v>
      </c>
      <c r="I58" s="39">
        <f t="shared" si="20"/>
        <v>203109863</v>
      </c>
      <c r="J58" s="39">
        <f t="shared" si="20"/>
        <v>0</v>
      </c>
      <c r="K58" s="293">
        <f t="shared" si="20"/>
        <v>172297184</v>
      </c>
      <c r="L58" s="293">
        <f>SUM(L59:L61)</f>
        <v>172297184</v>
      </c>
      <c r="M58" s="293">
        <f>SUM(M59:M61)</f>
        <v>172297184</v>
      </c>
      <c r="N58" s="293">
        <f>SUM(N59:N61)</f>
        <v>172297184</v>
      </c>
      <c r="O58" s="293">
        <f>SUM(O59:O61)</f>
        <v>183209830</v>
      </c>
      <c r="P58" s="39">
        <f t="shared" si="20"/>
        <v>0</v>
      </c>
      <c r="Q58" s="626">
        <f>P58/N58</f>
        <v>0</v>
      </c>
      <c r="R58" s="293">
        <f>SUM(R59:R61)</f>
        <v>19900033</v>
      </c>
      <c r="S58" s="293">
        <f>SUM(S59:S61)</f>
        <v>19900033</v>
      </c>
      <c r="T58" s="293">
        <f>SUM(T59:T61)</f>
        <v>19900033</v>
      </c>
      <c r="U58" s="293">
        <f>SUM(U59:U61)</f>
        <v>19900033</v>
      </c>
      <c r="V58" s="293">
        <f>SUM(V59:V61)</f>
        <v>19900033</v>
      </c>
      <c r="W58" s="39">
        <f>SUM(W59:W61)</f>
        <v>0</v>
      </c>
      <c r="X58" s="293">
        <f aca="true" t="shared" si="21" ref="X58:AD58">SUM(X59:X61)</f>
        <v>0</v>
      </c>
      <c r="Y58" s="293">
        <f>SUM(Y59:Y61)</f>
        <v>0</v>
      </c>
      <c r="Z58" s="293">
        <f>SUM(Z59:Z61)</f>
        <v>0</v>
      </c>
      <c r="AA58" s="293">
        <f>SUM(AA59:AA61)</f>
        <v>0</v>
      </c>
      <c r="AB58" s="293">
        <f>SUM(AB59:AB61)</f>
        <v>0</v>
      </c>
      <c r="AC58" s="293">
        <f t="shared" si="21"/>
        <v>0</v>
      </c>
      <c r="AD58" s="293">
        <f t="shared" si="21"/>
        <v>0</v>
      </c>
      <c r="AE58" s="912"/>
    </row>
    <row r="59" spans="1:31" ht="21.75" customHeight="1">
      <c r="A59" s="63"/>
      <c r="B59" s="64" t="s">
        <v>46</v>
      </c>
      <c r="C59" s="1124" t="s">
        <v>541</v>
      </c>
      <c r="D59" s="1124"/>
      <c r="E59" s="305">
        <f>'3.sz.m Önk  bev.'!E57</f>
        <v>0</v>
      </c>
      <c r="F59" s="240">
        <f>'3.sz.m Önk  bev.'!F57</f>
        <v>0</v>
      </c>
      <c r="G59" s="240">
        <f>'3.sz.m Önk  bev.'!G57</f>
        <v>0</v>
      </c>
      <c r="H59" s="240">
        <f>'3.sz.m Önk  bev.'!H57</f>
        <v>0</v>
      </c>
      <c r="I59" s="240">
        <f>'3.sz.m Önk  bev.'!I57</f>
        <v>10912646</v>
      </c>
      <c r="J59" s="240">
        <f>'3.sz.m Önk  bev.'!J57</f>
        <v>0</v>
      </c>
      <c r="K59" s="305">
        <f>'3.sz.m Önk  bev.'!L57</f>
        <v>0</v>
      </c>
      <c r="L59" s="305">
        <f>'3.sz.m Önk  bev.'!M57</f>
        <v>0</v>
      </c>
      <c r="M59" s="305">
        <f>'3.sz.m Önk  bev.'!N57</f>
        <v>0</v>
      </c>
      <c r="N59" s="305">
        <f>'3.sz.m Önk  bev.'!O57</f>
        <v>0</v>
      </c>
      <c r="O59" s="305">
        <f>'3.sz.m Önk  bev.'!P57</f>
        <v>10912646</v>
      </c>
      <c r="P59" s="240">
        <f>J59</f>
        <v>0</v>
      </c>
      <c r="Q59" s="627" t="e">
        <f>P59/N59</f>
        <v>#DIV/0!</v>
      </c>
      <c r="R59" s="305">
        <v>0</v>
      </c>
      <c r="S59" s="305">
        <v>0</v>
      </c>
      <c r="T59" s="305">
        <v>0</v>
      </c>
      <c r="U59" s="305">
        <v>0</v>
      </c>
      <c r="V59" s="305">
        <v>0</v>
      </c>
      <c r="W59" s="240"/>
      <c r="X59" s="305">
        <v>0</v>
      </c>
      <c r="Y59" s="305">
        <v>0</v>
      </c>
      <c r="Z59" s="305">
        <v>0</v>
      </c>
      <c r="AA59" s="305">
        <v>0</v>
      </c>
      <c r="AB59" s="305">
        <v>0</v>
      </c>
      <c r="AC59" s="305">
        <v>0</v>
      </c>
      <c r="AD59" s="305">
        <v>0</v>
      </c>
      <c r="AE59" s="912"/>
    </row>
    <row r="60" spans="1:31" ht="21.75" customHeight="1">
      <c r="A60" s="62"/>
      <c r="B60" s="59" t="s">
        <v>47</v>
      </c>
      <c r="C60" s="1124" t="s">
        <v>509</v>
      </c>
      <c r="D60" s="1124"/>
      <c r="E60" s="305">
        <f>'3.sz.m Önk  bev.'!E58</f>
        <v>0</v>
      </c>
      <c r="F60" s="240">
        <f>'3.sz.m Önk  bev.'!F58</f>
        <v>0</v>
      </c>
      <c r="G60" s="240">
        <f>'3.sz.m Önk  bev.'!G58</f>
        <v>0</v>
      </c>
      <c r="H60" s="240">
        <f>'3.sz.m Önk  bev.'!H58</f>
        <v>0</v>
      </c>
      <c r="I60" s="240">
        <f>'3.sz.m Önk  bev.'!I58</f>
        <v>0</v>
      </c>
      <c r="J60" s="240">
        <f>'3.sz.m Önk  bev.'!J58</f>
        <v>0</v>
      </c>
      <c r="K60" s="305">
        <f>'3.sz.m Önk  bev.'!L58</f>
        <v>0</v>
      </c>
      <c r="L60" s="305">
        <f>'3.sz.m Önk  bev.'!M58</f>
        <v>0</v>
      </c>
      <c r="M60" s="305">
        <f>'3.sz.m Önk  bev.'!N58</f>
        <v>0</v>
      </c>
      <c r="N60" s="305">
        <f>'3.sz.m Önk  bev.'!O58</f>
        <v>0</v>
      </c>
      <c r="O60" s="305">
        <f>'3.sz.m Önk  bev.'!P58</f>
        <v>0</v>
      </c>
      <c r="P60" s="240">
        <f>'3.sz.m Önk  bev.'!Q58</f>
        <v>0</v>
      </c>
      <c r="Q60" s="629"/>
      <c r="R60" s="305">
        <v>0</v>
      </c>
      <c r="S60" s="305">
        <v>0</v>
      </c>
      <c r="T60" s="305">
        <v>0</v>
      </c>
      <c r="U60" s="305">
        <v>0</v>
      </c>
      <c r="V60" s="305">
        <v>0</v>
      </c>
      <c r="W60" s="240"/>
      <c r="X60" s="305">
        <v>0</v>
      </c>
      <c r="Y60" s="305">
        <v>0</v>
      </c>
      <c r="Z60" s="305">
        <v>0</v>
      </c>
      <c r="AA60" s="305">
        <v>0</v>
      </c>
      <c r="AB60" s="305">
        <v>0</v>
      </c>
      <c r="AC60" s="305">
        <v>0</v>
      </c>
      <c r="AD60" s="305">
        <v>0</v>
      </c>
      <c r="AE60" s="912"/>
    </row>
    <row r="61" spans="1:31" ht="21.75" customHeight="1" thickBot="1">
      <c r="A61" s="62"/>
      <c r="B61" s="59" t="s">
        <v>74</v>
      </c>
      <c r="C61" s="1124" t="s">
        <v>326</v>
      </c>
      <c r="D61" s="1124"/>
      <c r="E61" s="305">
        <f>'3.sz.m Önk  bev.'!E59+'5.1 sz. m Köz Hiv'!D26+'5.2 sz. m ÁMK'!D29</f>
        <v>192197217</v>
      </c>
      <c r="F61" s="240">
        <f>'3.sz.m Önk  bev.'!F59+'5.1 sz. m Köz Hiv'!E26+'5.2 sz. m ÁMK'!E29</f>
        <v>192197217</v>
      </c>
      <c r="G61" s="240">
        <f>'3.sz.m Önk  bev.'!G59+'5.1 sz. m Köz Hiv'!F26+'5.2 sz. m ÁMK'!F29</f>
        <v>192197217</v>
      </c>
      <c r="H61" s="240">
        <f>'3.sz.m Önk  bev.'!H59+'5.1 sz. m Köz Hiv'!G26+'5.2 sz. m ÁMK'!G29</f>
        <v>192197217</v>
      </c>
      <c r="I61" s="240">
        <f>'3.sz.m Önk  bev.'!I59+'5.1 sz. m Köz Hiv'!H26+'5.2 sz. m ÁMK'!H29</f>
        <v>192197217</v>
      </c>
      <c r="J61" s="240">
        <f>'3.sz.m Önk  bev.'!J59+'5.1 sz. m Köz Hiv'!I26+'5.2 sz. m ÁMK'!I29</f>
        <v>0</v>
      </c>
      <c r="K61" s="305">
        <f>'3.sz.m Önk  bev.'!L59+'5.1 sz. m Köz Hiv'!L26+'5.2 sz. m ÁMK'!L29</f>
        <v>172297184</v>
      </c>
      <c r="L61" s="305">
        <f>'3.sz.m Önk  bev.'!M59+'5.1 sz. m Köz Hiv'!M26+'5.2 sz. m ÁMK'!M29</f>
        <v>172297184</v>
      </c>
      <c r="M61" s="305">
        <f>'3.sz.m Önk  bev.'!N59+'5.1 sz. m Köz Hiv'!N26+'5.2 sz. m ÁMK'!N29</f>
        <v>172297184</v>
      </c>
      <c r="N61" s="305">
        <f>'3.sz.m Önk  bev.'!O59+'5.1 sz. m Köz Hiv'!O26+'5.2 sz. m ÁMK'!O29</f>
        <v>172297184</v>
      </c>
      <c r="O61" s="305">
        <f>'3.sz.m Önk  bev.'!P59+'5.1 sz. m Köz Hiv'!P26+'5.2 sz. m ÁMK'!P29</f>
        <v>172297184</v>
      </c>
      <c r="P61" s="240">
        <f>'3.sz.m Önk  bev.'!Q59+'5.1 sz. m Köz Hiv'!Q26+'5.2 sz. m ÁMK'!Q29</f>
        <v>0</v>
      </c>
      <c r="Q61" s="629">
        <f>P61/N61</f>
        <v>0</v>
      </c>
      <c r="R61" s="305">
        <f>+'3.sz.m Önk  bev.'!S59</f>
        <v>19900033</v>
      </c>
      <c r="S61" s="305">
        <f>+'3.sz.m Önk  bev.'!T59</f>
        <v>19900033</v>
      </c>
      <c r="T61" s="305">
        <f>+'3.sz.m Önk  bev.'!U59</f>
        <v>19900033</v>
      </c>
      <c r="U61" s="305">
        <f>+'3.sz.m Önk  bev.'!V59</f>
        <v>19900033</v>
      </c>
      <c r="V61" s="305">
        <f>+'3.sz.m Önk  bev.'!W59</f>
        <v>19900033</v>
      </c>
      <c r="W61" s="240"/>
      <c r="X61" s="305">
        <v>0</v>
      </c>
      <c r="Y61" s="305">
        <v>0</v>
      </c>
      <c r="Z61" s="305">
        <v>0</v>
      </c>
      <c r="AA61" s="305">
        <v>0</v>
      </c>
      <c r="AB61" s="305">
        <v>0</v>
      </c>
      <c r="AC61" s="305">
        <v>0</v>
      </c>
      <c r="AD61" s="305">
        <v>0</v>
      </c>
      <c r="AE61" s="912"/>
    </row>
    <row r="62" spans="1:31" ht="35.25" customHeight="1" thickBot="1">
      <c r="A62" s="69" t="s">
        <v>57</v>
      </c>
      <c r="B62" s="1130" t="s">
        <v>76</v>
      </c>
      <c r="C62" s="1130"/>
      <c r="D62" s="1130"/>
      <c r="E62" s="293">
        <f aca="true" t="shared" si="22" ref="E62:P62">E57+E58</f>
        <v>819432435</v>
      </c>
      <c r="F62" s="39">
        <f t="shared" si="22"/>
        <v>819704937</v>
      </c>
      <c r="G62" s="39">
        <f>G57+G58</f>
        <v>822969705</v>
      </c>
      <c r="H62" s="39">
        <f>H57+H58</f>
        <v>944350333</v>
      </c>
      <c r="I62" s="39">
        <f t="shared" si="22"/>
        <v>1042444887</v>
      </c>
      <c r="J62" s="39">
        <f t="shared" si="22"/>
        <v>0</v>
      </c>
      <c r="K62" s="293">
        <f t="shared" si="22"/>
        <v>720819800</v>
      </c>
      <c r="L62" s="293">
        <f>L57+L58</f>
        <v>721092302</v>
      </c>
      <c r="M62" s="293">
        <f>M57+M58</f>
        <v>724147070</v>
      </c>
      <c r="N62" s="293">
        <f>N57+N58</f>
        <v>843797698</v>
      </c>
      <c r="O62" s="293">
        <f>O57+O58</f>
        <v>945801346</v>
      </c>
      <c r="P62" s="39">
        <f t="shared" si="22"/>
        <v>-20150631</v>
      </c>
      <c r="Q62" s="626">
        <f>P62/N62</f>
        <v>-0.02388087932422873</v>
      </c>
      <c r="R62" s="293">
        <f>R57+R58</f>
        <v>98612635</v>
      </c>
      <c r="S62" s="293">
        <f>S57+S58</f>
        <v>98612635</v>
      </c>
      <c r="T62" s="293">
        <f>T57+T58</f>
        <v>98822635</v>
      </c>
      <c r="U62" s="293">
        <f>U57+U58</f>
        <v>100552635</v>
      </c>
      <c r="V62" s="293">
        <f>V57+V58</f>
        <v>96643541</v>
      </c>
      <c r="W62" s="39">
        <f>W57+W58</f>
        <v>20150631</v>
      </c>
      <c r="X62" s="293">
        <f aca="true" t="shared" si="23" ref="X62:AD62">X57+X58</f>
        <v>6843890</v>
      </c>
      <c r="Y62" s="293">
        <f>Y57+Y58</f>
        <v>6843890</v>
      </c>
      <c r="Z62" s="293">
        <f>Z57+Z58</f>
        <v>6843890</v>
      </c>
      <c r="AA62" s="293">
        <f>AA57+AA58</f>
        <v>6843890</v>
      </c>
      <c r="AB62" s="293">
        <f>AB57+AB58</f>
        <v>6843890</v>
      </c>
      <c r="AC62" s="293">
        <f t="shared" si="23"/>
        <v>5610894</v>
      </c>
      <c r="AD62" s="293">
        <f t="shared" si="23"/>
        <v>5610894</v>
      </c>
      <c r="AE62" s="912"/>
    </row>
    <row r="63" spans="1:31" ht="21.75" customHeight="1" hidden="1" thickBot="1">
      <c r="A63" s="1116" t="s">
        <v>242</v>
      </c>
      <c r="B63" s="1117"/>
      <c r="C63" s="1117"/>
      <c r="D63" s="1117"/>
      <c r="E63" s="455"/>
      <c r="F63" s="456"/>
      <c r="G63" s="456"/>
      <c r="H63" s="456"/>
      <c r="I63" s="456"/>
      <c r="J63" s="456"/>
      <c r="K63" s="455"/>
      <c r="L63" s="455"/>
      <c r="M63"/>
      <c r="N63"/>
      <c r="O63"/>
      <c r="P63" s="456"/>
      <c r="Q63" s="461"/>
      <c r="R63" s="455"/>
      <c r="S63" s="455"/>
      <c r="T63"/>
      <c r="U63"/>
      <c r="V63"/>
      <c r="W63" s="456"/>
      <c r="X63" s="455"/>
      <c r="Y63" s="455"/>
      <c r="Z63"/>
      <c r="AA63"/>
      <c r="AB63"/>
      <c r="AC63" s="455"/>
      <c r="AD63" s="455"/>
      <c r="AE63" s="912"/>
    </row>
    <row r="64" spans="1:31" ht="21.75" customHeight="1" thickBot="1">
      <c r="A64" s="1129" t="s">
        <v>6</v>
      </c>
      <c r="B64" s="1130"/>
      <c r="C64" s="1130"/>
      <c r="D64" s="1130"/>
      <c r="E64" s="325">
        <f aca="true" t="shared" si="24" ref="E64:P64">E62+E63</f>
        <v>819432435</v>
      </c>
      <c r="F64" s="326">
        <f t="shared" si="24"/>
        <v>819704937</v>
      </c>
      <c r="G64" s="326">
        <f t="shared" si="24"/>
        <v>822969705</v>
      </c>
      <c r="H64" s="326">
        <f>H62+H63</f>
        <v>944350333</v>
      </c>
      <c r="I64" s="326">
        <f t="shared" si="24"/>
        <v>1042444887</v>
      </c>
      <c r="J64" s="326">
        <f t="shared" si="24"/>
        <v>0</v>
      </c>
      <c r="K64" s="325">
        <f t="shared" si="24"/>
        <v>720819800</v>
      </c>
      <c r="L64" s="325">
        <f>L62+L63</f>
        <v>721092302</v>
      </c>
      <c r="M64" s="325">
        <f>M62+M63</f>
        <v>724147070</v>
      </c>
      <c r="N64" s="325">
        <f>N62+N63</f>
        <v>843797698</v>
      </c>
      <c r="O64" s="325">
        <f>O62+O63</f>
        <v>945801346</v>
      </c>
      <c r="P64" s="326">
        <f t="shared" si="24"/>
        <v>-20150631</v>
      </c>
      <c r="Q64" s="328">
        <f>P64/N64</f>
        <v>-0.02388087932422873</v>
      </c>
      <c r="R64" s="325">
        <f>R62+R63</f>
        <v>98612635</v>
      </c>
      <c r="S64" s="325">
        <f>S62+S63</f>
        <v>98612635</v>
      </c>
      <c r="T64" s="325">
        <f>T62+T63</f>
        <v>98822635</v>
      </c>
      <c r="U64" s="325">
        <f>U62+U63</f>
        <v>100552635</v>
      </c>
      <c r="V64" s="325">
        <f>V62+V63</f>
        <v>96643541</v>
      </c>
      <c r="W64" s="326">
        <f>W62+W63</f>
        <v>20150631</v>
      </c>
      <c r="X64" s="325">
        <f aca="true" t="shared" si="25" ref="X64:AD64">X62+X63</f>
        <v>6843890</v>
      </c>
      <c r="Y64" s="325">
        <f>Y62+Y63</f>
        <v>6843890</v>
      </c>
      <c r="Z64" s="325">
        <f>Z62+Z63</f>
        <v>6843890</v>
      </c>
      <c r="AA64" s="325">
        <f>AA62+AA63</f>
        <v>6843890</v>
      </c>
      <c r="AB64" s="325">
        <f>AB62+AB63</f>
        <v>6843890</v>
      </c>
      <c r="AC64" s="325">
        <f t="shared" si="25"/>
        <v>5610894</v>
      </c>
      <c r="AD64" s="325">
        <f t="shared" si="25"/>
        <v>5610894</v>
      </c>
      <c r="AE64" s="912"/>
    </row>
    <row r="65" spans="1:23" ht="21.75" customHeight="1">
      <c r="A65" s="458"/>
      <c r="B65" s="459"/>
      <c r="C65" s="459"/>
      <c r="D65" s="459"/>
      <c r="E65" s="819" t="str">
        <f>IF(K64+R64=E64," ","HIBA-nincs egyenlőség")</f>
        <v> </v>
      </c>
      <c r="F65" s="460"/>
      <c r="G65" s="460"/>
      <c r="H65" s="460"/>
      <c r="I65" s="460"/>
      <c r="J65" s="460"/>
      <c r="K65" s="460"/>
      <c r="L65" s="460"/>
      <c r="M65" s="460"/>
      <c r="N65" s="794"/>
      <c r="O65" s="794"/>
      <c r="P65" s="460"/>
      <c r="Q65" s="460"/>
      <c r="R65" s="460"/>
      <c r="S65" s="460"/>
      <c r="T65" s="460"/>
      <c r="U65" s="460"/>
      <c r="V65" s="460"/>
      <c r="W65" s="460"/>
    </row>
    <row r="66" spans="1:21" ht="21.75" customHeight="1">
      <c r="A66" s="49"/>
      <c r="B66" s="90"/>
      <c r="C66" s="90"/>
      <c r="D66" s="90"/>
      <c r="F66" s="268"/>
      <c r="K66" s="268"/>
      <c r="S66" s="268"/>
      <c r="T66" s="268"/>
      <c r="U66" s="268"/>
    </row>
    <row r="67" spans="1:21" ht="35.25" customHeight="1">
      <c r="A67" s="49"/>
      <c r="B67" s="90"/>
      <c r="C67" s="90"/>
      <c r="D67" s="90"/>
      <c r="E67" s="268"/>
      <c r="F67" s="268"/>
      <c r="G67" s="268"/>
      <c r="J67" s="268"/>
      <c r="K67" s="268"/>
      <c r="M67" s="268"/>
      <c r="N67" s="268"/>
      <c r="O67" s="268"/>
      <c r="P67" s="268"/>
      <c r="Q67" s="268"/>
      <c r="S67" s="268"/>
      <c r="T67" s="268"/>
      <c r="U67" s="268"/>
    </row>
    <row r="68" spans="1:21" ht="35.25" customHeight="1">
      <c r="A68" s="49"/>
      <c r="B68" s="90"/>
      <c r="C68" s="90"/>
      <c r="D68" s="90"/>
      <c r="E68" s="268"/>
      <c r="F68" s="268"/>
      <c r="G68" s="268"/>
      <c r="J68" s="268"/>
      <c r="L68" s="268"/>
      <c r="N68" s="268"/>
      <c r="O68" s="268"/>
      <c r="P68" s="268"/>
      <c r="Q68" s="268"/>
      <c r="S68" s="268"/>
      <c r="T68" s="268"/>
      <c r="U68" s="268"/>
    </row>
    <row r="69" spans="5:21" ht="12.75">
      <c r="E69" s="268"/>
      <c r="F69" s="268"/>
      <c r="G69" s="268"/>
      <c r="H69" s="268"/>
      <c r="I69" s="268"/>
      <c r="J69" s="268"/>
      <c r="K69" s="268"/>
      <c r="L69" s="268"/>
      <c r="N69" s="268"/>
      <c r="O69" s="268"/>
      <c r="P69" s="268"/>
      <c r="Q69" s="268"/>
      <c r="S69" s="268"/>
      <c r="T69" s="268"/>
      <c r="U69" s="268"/>
    </row>
    <row r="70" spans="5:21" ht="12.75"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S70" s="268"/>
      <c r="T70" s="268"/>
      <c r="U70" s="268"/>
    </row>
    <row r="71" spans="5:21" ht="12.75"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S71" s="268"/>
      <c r="T71" s="268"/>
      <c r="U71" s="268"/>
    </row>
    <row r="72" spans="4:21" ht="12.75">
      <c r="D72" s="56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S72" s="268"/>
      <c r="T72" s="268"/>
      <c r="U72" s="268"/>
    </row>
    <row r="73" spans="4:21" ht="48.75" customHeight="1">
      <c r="D73" s="56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S73" s="268"/>
      <c r="T73" s="268"/>
      <c r="U73" s="268"/>
    </row>
    <row r="74" spans="4:21" ht="46.5" customHeight="1">
      <c r="D74" s="56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S74" s="268"/>
      <c r="T74" s="268"/>
      <c r="U74" s="268"/>
    </row>
    <row r="75" spans="5:21" ht="41.25" customHeight="1"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S75" s="268"/>
      <c r="T75" s="268"/>
      <c r="U75" s="268"/>
    </row>
    <row r="76" spans="5:21" ht="12.75"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S76" s="268"/>
      <c r="T76" s="268"/>
      <c r="U76" s="268"/>
    </row>
    <row r="77" spans="5:21" ht="12.75"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S77" s="268"/>
      <c r="T77" s="268"/>
      <c r="U77" s="268"/>
    </row>
    <row r="78" spans="5:21" ht="12.75"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S78" s="268"/>
      <c r="T78" s="268"/>
      <c r="U78" s="268"/>
    </row>
    <row r="79" spans="5:21" ht="12.75"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S79" s="268"/>
      <c r="T79" s="268"/>
      <c r="U79" s="268"/>
    </row>
    <row r="80" spans="5:21" ht="12.75"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S80" s="268"/>
      <c r="T80" s="268"/>
      <c r="U80" s="268"/>
    </row>
    <row r="81" spans="5:21" ht="12.75"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S81" s="268"/>
      <c r="T81" s="268"/>
      <c r="U81" s="268"/>
    </row>
    <row r="82" spans="5:21" ht="12.75">
      <c r="E82" s="268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S82" s="268"/>
      <c r="T82" s="268"/>
      <c r="U82" s="268"/>
    </row>
    <row r="83" spans="5:21" ht="12.75"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S83" s="268"/>
      <c r="T83" s="268"/>
      <c r="U83" s="268"/>
    </row>
    <row r="84" spans="5:21" ht="12.75"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S84" s="268"/>
      <c r="T84" s="268"/>
      <c r="U84" s="268"/>
    </row>
    <row r="85" spans="5:21" ht="12.75">
      <c r="E85" s="268"/>
      <c r="F85" s="268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S85" s="268"/>
      <c r="T85" s="268"/>
      <c r="U85" s="268"/>
    </row>
    <row r="86" spans="5:21" ht="12.75">
      <c r="E86" s="268"/>
      <c r="F86" s="268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S86" s="268"/>
      <c r="T86" s="268"/>
      <c r="U86" s="268"/>
    </row>
    <row r="87" spans="5:21" ht="12.75">
      <c r="E87" s="268"/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S87" s="268"/>
      <c r="T87" s="268"/>
      <c r="U87" s="268"/>
    </row>
    <row r="88" spans="5:21" ht="12.75">
      <c r="E88" s="268"/>
      <c r="F88" s="268"/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S88" s="268"/>
      <c r="T88" s="268"/>
      <c r="U88" s="268"/>
    </row>
    <row r="89" spans="5:21" ht="12.75"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S89" s="268"/>
      <c r="T89" s="268"/>
      <c r="U89" s="268"/>
    </row>
    <row r="90" spans="5:21" ht="12.75">
      <c r="E90" s="268"/>
      <c r="F90" s="268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S90" s="268"/>
      <c r="T90" s="268"/>
      <c r="U90" s="268"/>
    </row>
    <row r="91" spans="5:21" ht="12.75"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S91" s="268"/>
      <c r="T91" s="268"/>
      <c r="U91" s="268"/>
    </row>
    <row r="92" spans="5:21" ht="12.75"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S92" s="268"/>
      <c r="T92" s="268"/>
      <c r="U92" s="268"/>
    </row>
    <row r="93" spans="5:21" ht="12.75">
      <c r="E93" s="268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S93" s="268"/>
      <c r="T93" s="268"/>
      <c r="U93" s="268"/>
    </row>
    <row r="94" spans="5:21" ht="12.75"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S94" s="268"/>
      <c r="T94" s="268"/>
      <c r="U94" s="268"/>
    </row>
    <row r="95" spans="5:21" ht="12.75"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S95" s="268"/>
      <c r="T95" s="268"/>
      <c r="U95" s="268"/>
    </row>
    <row r="96" spans="5:21" ht="12.75"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S96" s="268"/>
      <c r="T96" s="268"/>
      <c r="U96" s="268"/>
    </row>
    <row r="97" spans="5:21" ht="12.75">
      <c r="E97" s="268"/>
      <c r="F97" s="268"/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S97" s="268"/>
      <c r="T97" s="268"/>
      <c r="U97" s="268"/>
    </row>
    <row r="98" spans="5:21" ht="12.75">
      <c r="E98" s="268"/>
      <c r="F98" s="268"/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S98" s="268"/>
      <c r="T98" s="268"/>
      <c r="U98" s="268"/>
    </row>
    <row r="99" spans="5:21" ht="12.75">
      <c r="E99" s="268"/>
      <c r="F99" s="268"/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S99" s="268"/>
      <c r="T99" s="268"/>
      <c r="U99" s="268"/>
    </row>
    <row r="100" spans="5:21" ht="12.75"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S100" s="268"/>
      <c r="T100" s="268"/>
      <c r="U100" s="268"/>
    </row>
    <row r="101" spans="5:21" ht="12.75"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S101" s="268"/>
      <c r="T101" s="268"/>
      <c r="U101" s="268"/>
    </row>
    <row r="102" spans="5:21" ht="12.75">
      <c r="E102" s="268"/>
      <c r="F102" s="268"/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S102" s="268"/>
      <c r="T102" s="268"/>
      <c r="U102" s="268"/>
    </row>
    <row r="103" spans="5:21" ht="12.75">
      <c r="E103" s="268"/>
      <c r="F103" s="268"/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S103" s="268"/>
      <c r="T103" s="268"/>
      <c r="U103" s="268"/>
    </row>
    <row r="104" spans="5:21" ht="12.75"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S104" s="268"/>
      <c r="T104" s="268"/>
      <c r="U104" s="268"/>
    </row>
    <row r="105" spans="5:21" ht="12.75"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S105" s="268"/>
      <c r="T105" s="268"/>
      <c r="U105" s="268"/>
    </row>
    <row r="106" spans="5:21" ht="12.75">
      <c r="E106" s="268"/>
      <c r="F106" s="268"/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S106" s="268"/>
      <c r="T106" s="268"/>
      <c r="U106" s="268"/>
    </row>
    <row r="107" spans="5:21" ht="12.75">
      <c r="E107" s="268"/>
      <c r="F107" s="268"/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S107" s="268"/>
      <c r="T107" s="268"/>
      <c r="U107" s="268"/>
    </row>
    <row r="108" spans="5:21" ht="12.75">
      <c r="E108" s="268"/>
      <c r="F108" s="268"/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S108" s="268"/>
      <c r="T108" s="268"/>
      <c r="U108" s="268"/>
    </row>
    <row r="109" spans="5:21" ht="12.75">
      <c r="E109" s="268"/>
      <c r="F109" s="268"/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S109" s="268"/>
      <c r="T109" s="268"/>
      <c r="U109" s="268"/>
    </row>
    <row r="110" spans="5:21" ht="12.75">
      <c r="E110" s="268"/>
      <c r="F110" s="268"/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S110" s="268"/>
      <c r="T110" s="268"/>
      <c r="U110" s="268"/>
    </row>
    <row r="111" spans="5:21" ht="12.75"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S111" s="268"/>
      <c r="T111" s="268"/>
      <c r="U111" s="268"/>
    </row>
    <row r="112" spans="5:21" ht="12.75">
      <c r="E112" s="268"/>
      <c r="F112" s="268"/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S112" s="268"/>
      <c r="T112" s="268"/>
      <c r="U112" s="268"/>
    </row>
    <row r="113" spans="5:21" ht="12.75">
      <c r="E113" s="268"/>
      <c r="F113" s="268"/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S113" s="268"/>
      <c r="T113" s="268"/>
      <c r="U113" s="268"/>
    </row>
  </sheetData>
  <sheetProtection/>
  <mergeCells count="49">
    <mergeCell ref="A2:R2"/>
    <mergeCell ref="A4:C4"/>
    <mergeCell ref="B6:D6"/>
    <mergeCell ref="B7:D7"/>
    <mergeCell ref="E4:J4"/>
    <mergeCell ref="K4:Q4"/>
    <mergeCell ref="C13:D13"/>
    <mergeCell ref="C32:D32"/>
    <mergeCell ref="C16:D16"/>
    <mergeCell ref="R4:W4"/>
    <mergeCell ref="C25:D25"/>
    <mergeCell ref="C17:D17"/>
    <mergeCell ref="C20:D20"/>
    <mergeCell ref="C24:D24"/>
    <mergeCell ref="A64:D64"/>
    <mergeCell ref="B62:D62"/>
    <mergeCell ref="C61:D61"/>
    <mergeCell ref="C52:D52"/>
    <mergeCell ref="B57:D57"/>
    <mergeCell ref="C60:D60"/>
    <mergeCell ref="C59:D59"/>
    <mergeCell ref="O1:AB1"/>
    <mergeCell ref="C31:D31"/>
    <mergeCell ref="C49:D49"/>
    <mergeCell ref="C45:D45"/>
    <mergeCell ref="C38:D38"/>
    <mergeCell ref="B21:D21"/>
    <mergeCell ref="C22:D22"/>
    <mergeCell ref="C23:D23"/>
    <mergeCell ref="C8:D8"/>
    <mergeCell ref="C29:D29"/>
    <mergeCell ref="X4:AD4"/>
    <mergeCell ref="B54:D54"/>
    <mergeCell ref="C55:D55"/>
    <mergeCell ref="C56:D56"/>
    <mergeCell ref="C30:D30"/>
    <mergeCell ref="C53:D53"/>
    <mergeCell ref="C36:D36"/>
    <mergeCell ref="B51:D51"/>
    <mergeCell ref="C39:D39"/>
    <mergeCell ref="C44:D44"/>
    <mergeCell ref="C37:D37"/>
    <mergeCell ref="C35:D35"/>
    <mergeCell ref="C33:D33"/>
    <mergeCell ref="A63:D63"/>
    <mergeCell ref="C50:D50"/>
    <mergeCell ref="B58:D58"/>
    <mergeCell ref="B34:D34"/>
    <mergeCell ref="B43:D4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33" r:id="rId1"/>
  <colBreaks count="1" manualBreakCount="1">
    <brk id="22" max="6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7">
      <selection activeCell="M27" sqref="M27"/>
    </sheetView>
  </sheetViews>
  <sheetFormatPr defaultColWidth="9.140625" defaultRowHeight="12.75"/>
  <cols>
    <col min="1" max="1" width="6.57421875" style="1082" customWidth="1"/>
    <col min="2" max="2" width="26.7109375" style="1084" customWidth="1"/>
    <col min="3" max="3" width="28.28125" style="1084" customWidth="1"/>
    <col min="4" max="4" width="5.00390625" style="1082" customWidth="1"/>
    <col min="5" max="6" width="14.57421875" style="1082" customWidth="1"/>
    <col min="7" max="7" width="15.7109375" style="1082" customWidth="1"/>
    <col min="8" max="8" width="13.57421875" style="1082" customWidth="1"/>
    <col min="9" max="9" width="12.57421875" style="1082" customWidth="1"/>
    <col min="10" max="10" width="13.8515625" style="1082" hidden="1" customWidth="1"/>
    <col min="11" max="11" width="14.7109375" style="1082" customWidth="1"/>
    <col min="12" max="12" width="11.421875" style="1082" customWidth="1"/>
    <col min="13" max="15" width="9.140625" style="1082" customWidth="1"/>
    <col min="16" max="16384" width="9.140625" style="1082" customWidth="1"/>
  </cols>
  <sheetData>
    <row r="1" spans="2:9" ht="12.75">
      <c r="B1" s="1083"/>
      <c r="D1" s="1230" t="s">
        <v>560</v>
      </c>
      <c r="E1" s="1230"/>
      <c r="F1" s="1230"/>
      <c r="G1" s="1230"/>
      <c r="H1" s="1230"/>
      <c r="I1" s="1230"/>
    </row>
    <row r="2" ht="12.75">
      <c r="B2" s="1083"/>
    </row>
    <row r="3" spans="1:6" ht="18">
      <c r="A3" s="1228" t="s">
        <v>55</v>
      </c>
      <c r="B3" s="1228"/>
      <c r="C3" s="1228"/>
      <c r="D3" s="1228"/>
      <c r="E3" s="1228"/>
      <c r="F3" s="956"/>
    </row>
    <row r="4" spans="1:6" ht="18">
      <c r="A4" s="1228" t="s">
        <v>510</v>
      </c>
      <c r="B4" s="1228"/>
      <c r="C4" s="1228"/>
      <c r="D4" s="1228"/>
      <c r="E4" s="1228"/>
      <c r="F4" s="956"/>
    </row>
    <row r="5" spans="1:6" ht="18">
      <c r="A5" s="956"/>
      <c r="B5" s="957"/>
      <c r="C5" s="957"/>
      <c r="D5" s="956"/>
      <c r="E5" s="956"/>
      <c r="F5" s="956"/>
    </row>
    <row r="6" spans="1:6" ht="15.75">
      <c r="A6" s="1229" t="s">
        <v>640</v>
      </c>
      <c r="B6" s="1229"/>
      <c r="C6" s="1229"/>
      <c r="D6" s="1229"/>
      <c r="E6" s="1229"/>
      <c r="F6" s="958"/>
    </row>
    <row r="7" spans="1:10" ht="16.5" customHeight="1" thickBot="1">
      <c r="A7" s="1085"/>
      <c r="B7" s="1083"/>
      <c r="C7" s="1231" t="s">
        <v>478</v>
      </c>
      <c r="D7" s="1231"/>
      <c r="E7" s="1231"/>
      <c r="F7" s="1231"/>
      <c r="G7" s="1231"/>
      <c r="H7" s="1231"/>
      <c r="I7" s="1231"/>
      <c r="J7" s="1231"/>
    </row>
    <row r="8" spans="1:11" ht="45.75" customHeight="1" thickBot="1">
      <c r="A8" s="959" t="s">
        <v>18</v>
      </c>
      <c r="B8" s="960" t="s">
        <v>16</v>
      </c>
      <c r="C8" s="960" t="s">
        <v>17</v>
      </c>
      <c r="D8" s="961" t="s">
        <v>29</v>
      </c>
      <c r="E8" s="962" t="s">
        <v>205</v>
      </c>
      <c r="F8" s="960" t="s">
        <v>226</v>
      </c>
      <c r="G8" s="960" t="s">
        <v>229</v>
      </c>
      <c r="H8" s="960" t="s">
        <v>231</v>
      </c>
      <c r="I8" s="960" t="s">
        <v>243</v>
      </c>
      <c r="J8" s="960" t="s">
        <v>248</v>
      </c>
      <c r="K8" s="1086"/>
    </row>
    <row r="9" spans="1:10" ht="30" customHeight="1">
      <c r="A9" s="17">
        <v>1</v>
      </c>
      <c r="B9" s="752" t="s">
        <v>335</v>
      </c>
      <c r="C9" s="33" t="s">
        <v>666</v>
      </c>
      <c r="D9" s="644" t="s">
        <v>14</v>
      </c>
      <c r="E9" s="645">
        <v>260128</v>
      </c>
      <c r="F9" s="645">
        <v>260128</v>
      </c>
      <c r="G9" s="645">
        <v>260128</v>
      </c>
      <c r="H9" s="645">
        <v>260128</v>
      </c>
      <c r="I9" s="645"/>
      <c r="J9" s="645"/>
    </row>
    <row r="10" spans="1:10" ht="30" customHeight="1">
      <c r="A10" s="34">
        <v>2</v>
      </c>
      <c r="B10" s="752" t="s">
        <v>335</v>
      </c>
      <c r="C10" s="33" t="s">
        <v>667</v>
      </c>
      <c r="D10" s="753" t="s">
        <v>14</v>
      </c>
      <c r="E10" s="754">
        <v>531495</v>
      </c>
      <c r="F10" s="754">
        <v>531495</v>
      </c>
      <c r="G10" s="754">
        <v>531495</v>
      </c>
      <c r="H10" s="754">
        <v>531495</v>
      </c>
      <c r="I10" s="754"/>
      <c r="J10" s="754"/>
    </row>
    <row r="11" spans="1:10" ht="30" customHeight="1">
      <c r="A11" s="34">
        <v>3</v>
      </c>
      <c r="B11" s="752" t="s">
        <v>335</v>
      </c>
      <c r="C11" s="33" t="s">
        <v>668</v>
      </c>
      <c r="D11" s="753" t="s">
        <v>14</v>
      </c>
      <c r="E11" s="754">
        <v>266446</v>
      </c>
      <c r="F11" s="754">
        <v>266446</v>
      </c>
      <c r="G11" s="754">
        <v>266446</v>
      </c>
      <c r="H11" s="754">
        <v>266446</v>
      </c>
      <c r="I11" s="754"/>
      <c r="J11" s="754"/>
    </row>
    <row r="12" spans="1:16" ht="30" customHeight="1">
      <c r="A12" s="34">
        <v>4</v>
      </c>
      <c r="B12" s="752" t="s">
        <v>335</v>
      </c>
      <c r="C12" s="33" t="s">
        <v>669</v>
      </c>
      <c r="D12" s="963" t="s">
        <v>14</v>
      </c>
      <c r="E12" s="754">
        <v>381000</v>
      </c>
      <c r="F12" s="754">
        <v>381000</v>
      </c>
      <c r="G12" s="754">
        <v>381000</v>
      </c>
      <c r="H12" s="754">
        <v>381000</v>
      </c>
      <c r="I12" s="754"/>
      <c r="J12" s="754"/>
      <c r="K12" s="1086"/>
      <c r="N12" s="1086"/>
      <c r="P12" s="1086"/>
    </row>
    <row r="13" spans="1:16" ht="30" customHeight="1">
      <c r="A13" s="34">
        <v>5</v>
      </c>
      <c r="B13" s="752" t="s">
        <v>335</v>
      </c>
      <c r="C13" s="33" t="s">
        <v>710</v>
      </c>
      <c r="D13" s="963"/>
      <c r="E13" s="754"/>
      <c r="F13" s="754"/>
      <c r="G13" s="754"/>
      <c r="H13" s="754"/>
      <c r="I13" s="754">
        <f>+'5.1 sz. m Köz Hiv'!H41</f>
        <v>1069550</v>
      </c>
      <c r="J13" s="754"/>
      <c r="K13" s="1086"/>
      <c r="N13" s="1086"/>
      <c r="P13" s="1086"/>
    </row>
    <row r="14" spans="1:10" ht="30" customHeight="1">
      <c r="A14" s="34">
        <v>6</v>
      </c>
      <c r="B14" s="752" t="s">
        <v>214</v>
      </c>
      <c r="C14" s="33" t="s">
        <v>670</v>
      </c>
      <c r="D14" s="963" t="s">
        <v>14</v>
      </c>
      <c r="E14" s="754">
        <v>129794</v>
      </c>
      <c r="F14" s="754">
        <v>129794</v>
      </c>
      <c r="G14" s="754">
        <v>129794</v>
      </c>
      <c r="H14" s="754">
        <v>129794</v>
      </c>
      <c r="I14" s="754"/>
      <c r="J14" s="754"/>
    </row>
    <row r="15" spans="1:10" ht="30" customHeight="1">
      <c r="A15" s="34">
        <v>7</v>
      </c>
      <c r="B15" s="752" t="s">
        <v>214</v>
      </c>
      <c r="C15" s="33" t="s">
        <v>673</v>
      </c>
      <c r="D15" s="1087" t="s">
        <v>14</v>
      </c>
      <c r="E15" s="646">
        <v>463550</v>
      </c>
      <c r="F15" s="646">
        <v>463550</v>
      </c>
      <c r="G15" s="646">
        <v>463550</v>
      </c>
      <c r="H15" s="646">
        <v>463550</v>
      </c>
      <c r="I15" s="646">
        <v>434340</v>
      </c>
      <c r="J15" s="646"/>
    </row>
    <row r="16" spans="1:10" ht="30" customHeight="1">
      <c r="A16" s="34">
        <v>8</v>
      </c>
      <c r="B16" s="752" t="s">
        <v>214</v>
      </c>
      <c r="C16" s="33" t="s">
        <v>671</v>
      </c>
      <c r="D16" s="1087" t="s">
        <v>14</v>
      </c>
      <c r="E16" s="646">
        <v>299822</v>
      </c>
      <c r="F16" s="646">
        <v>299822</v>
      </c>
      <c r="G16" s="646">
        <v>299822</v>
      </c>
      <c r="H16" s="646">
        <v>299822</v>
      </c>
      <c r="I16" s="646">
        <v>266400</v>
      </c>
      <c r="J16" s="646"/>
    </row>
    <row r="17" spans="1:10" ht="30" customHeight="1">
      <c r="A17" s="34">
        <v>9</v>
      </c>
      <c r="B17" s="752" t="s">
        <v>214</v>
      </c>
      <c r="C17" s="33" t="s">
        <v>672</v>
      </c>
      <c r="D17" s="1088" t="s">
        <v>14</v>
      </c>
      <c r="E17" s="646">
        <v>177800</v>
      </c>
      <c r="F17" s="646">
        <v>177800</v>
      </c>
      <c r="G17" s="646">
        <v>177800</v>
      </c>
      <c r="H17" s="646">
        <v>177800</v>
      </c>
      <c r="I17" s="646">
        <f>51340+145804</f>
        <v>197144</v>
      </c>
      <c r="J17" s="646"/>
    </row>
    <row r="18" spans="1:11" ht="36.75" customHeight="1">
      <c r="A18" s="34">
        <v>10</v>
      </c>
      <c r="B18" s="752" t="s">
        <v>214</v>
      </c>
      <c r="C18" s="33" t="s">
        <v>674</v>
      </c>
      <c r="D18" s="1088" t="s">
        <v>14</v>
      </c>
      <c r="E18" s="646">
        <v>635000</v>
      </c>
      <c r="F18" s="646">
        <v>635000</v>
      </c>
      <c r="G18" s="646">
        <v>635000</v>
      </c>
      <c r="H18" s="646">
        <v>635000</v>
      </c>
      <c r="I18" s="646">
        <f>198001+198239+185077</f>
        <v>581317</v>
      </c>
      <c r="J18" s="646"/>
      <c r="K18" s="1086"/>
    </row>
    <row r="19" spans="1:11" ht="36.75" customHeight="1">
      <c r="A19" s="34">
        <v>11</v>
      </c>
      <c r="B19" s="752" t="s">
        <v>214</v>
      </c>
      <c r="C19" s="33" t="s">
        <v>547</v>
      </c>
      <c r="D19" s="1088" t="s">
        <v>14</v>
      </c>
      <c r="E19" s="646">
        <v>114300</v>
      </c>
      <c r="F19" s="646">
        <v>114300</v>
      </c>
      <c r="G19" s="646">
        <v>114300</v>
      </c>
      <c r="H19" s="646">
        <v>114300</v>
      </c>
      <c r="I19" s="646">
        <v>84900</v>
      </c>
      <c r="J19" s="646"/>
      <c r="K19" s="1086"/>
    </row>
    <row r="20" spans="1:11" ht="36.75" customHeight="1">
      <c r="A20" s="34">
        <v>12</v>
      </c>
      <c r="B20" s="752" t="s">
        <v>214</v>
      </c>
      <c r="C20" s="33" t="s">
        <v>709</v>
      </c>
      <c r="D20" s="963" t="s">
        <v>14</v>
      </c>
      <c r="E20" s="646">
        <v>190500</v>
      </c>
      <c r="F20" s="646">
        <v>190500</v>
      </c>
      <c r="G20" s="646">
        <v>190500</v>
      </c>
      <c r="H20" s="646">
        <v>190500</v>
      </c>
      <c r="I20" s="646">
        <f>49276+20690</f>
        <v>69966</v>
      </c>
      <c r="J20" s="646"/>
      <c r="K20" s="1086"/>
    </row>
    <row r="21" spans="1:16" ht="36.75" customHeight="1">
      <c r="A21" s="34">
        <v>13</v>
      </c>
      <c r="B21" s="752" t="s">
        <v>214</v>
      </c>
      <c r="C21" s="33" t="s">
        <v>675</v>
      </c>
      <c r="D21" s="963" t="s">
        <v>14</v>
      </c>
      <c r="E21" s="646">
        <v>44450</v>
      </c>
      <c r="F21" s="646">
        <v>44450</v>
      </c>
      <c r="G21" s="646">
        <v>44450</v>
      </c>
      <c r="H21" s="646">
        <v>44450</v>
      </c>
      <c r="I21" s="646"/>
      <c r="J21" s="646"/>
      <c r="K21" s="1086"/>
      <c r="P21" s="1086"/>
    </row>
    <row r="22" spans="1:11" ht="36.75" customHeight="1">
      <c r="A22" s="34">
        <v>14</v>
      </c>
      <c r="B22" s="752" t="s">
        <v>214</v>
      </c>
      <c r="C22" s="33" t="s">
        <v>687</v>
      </c>
      <c r="D22" s="963" t="s">
        <v>14</v>
      </c>
      <c r="E22" s="646"/>
      <c r="F22" s="646"/>
      <c r="G22" s="646">
        <v>37500</v>
      </c>
      <c r="H22" s="646">
        <v>37500</v>
      </c>
      <c r="I22" s="646"/>
      <c r="J22" s="646"/>
      <c r="K22" s="1086"/>
    </row>
    <row r="23" spans="1:11" ht="36.75" customHeight="1">
      <c r="A23" s="34">
        <v>15</v>
      </c>
      <c r="B23" s="752" t="s">
        <v>214</v>
      </c>
      <c r="C23" s="33" t="s">
        <v>703</v>
      </c>
      <c r="D23" s="963" t="s">
        <v>14</v>
      </c>
      <c r="E23" s="646"/>
      <c r="F23" s="646"/>
      <c r="G23" s="646"/>
      <c r="H23" s="646"/>
      <c r="I23" s="646">
        <v>28900</v>
      </c>
      <c r="J23" s="646"/>
      <c r="K23" s="1086"/>
    </row>
    <row r="24" spans="1:11" ht="36.75" customHeight="1">
      <c r="A24" s="34">
        <v>16</v>
      </c>
      <c r="B24" s="752" t="s">
        <v>214</v>
      </c>
      <c r="C24" s="33" t="s">
        <v>704</v>
      </c>
      <c r="D24" s="963" t="s">
        <v>14</v>
      </c>
      <c r="E24" s="646"/>
      <c r="F24" s="646"/>
      <c r="G24" s="646"/>
      <c r="H24" s="646"/>
      <c r="I24" s="646">
        <v>142240</v>
      </c>
      <c r="J24" s="646"/>
      <c r="K24" s="1086"/>
    </row>
    <row r="25" spans="1:11" ht="36.75" customHeight="1">
      <c r="A25" s="34">
        <v>17</v>
      </c>
      <c r="B25" s="752" t="s">
        <v>214</v>
      </c>
      <c r="C25" s="33" t="s">
        <v>705</v>
      </c>
      <c r="D25" s="963" t="s">
        <v>14</v>
      </c>
      <c r="E25" s="646"/>
      <c r="F25" s="646"/>
      <c r="G25" s="646"/>
      <c r="H25" s="646"/>
      <c r="I25" s="646">
        <v>187325</v>
      </c>
      <c r="J25" s="646"/>
      <c r="K25" s="1086"/>
    </row>
    <row r="26" spans="1:11" ht="36.75" customHeight="1">
      <c r="A26" s="34">
        <v>18</v>
      </c>
      <c r="B26" s="752" t="s">
        <v>214</v>
      </c>
      <c r="C26" s="33" t="s">
        <v>706</v>
      </c>
      <c r="D26" s="963" t="s">
        <v>14</v>
      </c>
      <c r="E26" s="646"/>
      <c r="F26" s="646"/>
      <c r="G26" s="646"/>
      <c r="H26" s="646"/>
      <c r="I26" s="646">
        <v>20690</v>
      </c>
      <c r="J26" s="646"/>
      <c r="K26" s="1086"/>
    </row>
    <row r="27" spans="1:11" ht="36.75" customHeight="1">
      <c r="A27" s="34">
        <v>19</v>
      </c>
      <c r="B27" s="752" t="s">
        <v>214</v>
      </c>
      <c r="C27" s="33" t="s">
        <v>707</v>
      </c>
      <c r="D27" s="963" t="s">
        <v>14</v>
      </c>
      <c r="E27" s="646"/>
      <c r="F27" s="646"/>
      <c r="G27" s="646"/>
      <c r="H27" s="646"/>
      <c r="I27" s="646">
        <v>53275</v>
      </c>
      <c r="J27" s="646"/>
      <c r="K27" s="1086"/>
    </row>
    <row r="28" spans="1:11" ht="36.75" customHeight="1" thickBot="1">
      <c r="A28" s="34">
        <v>20</v>
      </c>
      <c r="B28" s="752" t="s">
        <v>214</v>
      </c>
      <c r="C28" s="33" t="s">
        <v>708</v>
      </c>
      <c r="D28" s="963" t="s">
        <v>14</v>
      </c>
      <c r="E28" s="646"/>
      <c r="F28" s="646"/>
      <c r="G28" s="646"/>
      <c r="H28" s="646"/>
      <c r="I28" s="646">
        <v>64999</v>
      </c>
      <c r="J28" s="646"/>
      <c r="K28" s="1086"/>
    </row>
    <row r="29" spans="1:11" ht="36.75" customHeight="1" hidden="1">
      <c r="A29" s="34">
        <v>21</v>
      </c>
      <c r="B29" s="752" t="s">
        <v>214</v>
      </c>
      <c r="C29" s="33"/>
      <c r="D29" s="963" t="s">
        <v>14</v>
      </c>
      <c r="E29" s="646"/>
      <c r="F29" s="646"/>
      <c r="G29" s="646"/>
      <c r="H29" s="646"/>
      <c r="I29" s="646"/>
      <c r="J29" s="646"/>
      <c r="K29" s="1086"/>
    </row>
    <row r="30" spans="1:11" ht="36.75" customHeight="1" hidden="1" thickBot="1">
      <c r="A30" s="971">
        <v>22</v>
      </c>
      <c r="B30" s="752" t="s">
        <v>214</v>
      </c>
      <c r="C30" s="964"/>
      <c r="D30" s="963" t="s">
        <v>14</v>
      </c>
      <c r="E30" s="646"/>
      <c r="F30" s="646"/>
      <c r="G30" s="646"/>
      <c r="H30" s="646"/>
      <c r="I30" s="646"/>
      <c r="J30" s="646"/>
      <c r="K30" s="1086"/>
    </row>
    <row r="31" spans="1:11" ht="36.75" customHeight="1" hidden="1">
      <c r="A31" s="17">
        <v>23</v>
      </c>
      <c r="B31" s="752" t="s">
        <v>214</v>
      </c>
      <c r="C31" s="33"/>
      <c r="D31" s="963" t="s">
        <v>14</v>
      </c>
      <c r="E31" s="646"/>
      <c r="F31" s="646"/>
      <c r="G31" s="646"/>
      <c r="H31" s="646"/>
      <c r="I31" s="646"/>
      <c r="J31" s="646"/>
      <c r="K31" s="1086"/>
    </row>
    <row r="32" spans="1:11" ht="36.75" customHeight="1" hidden="1" thickBot="1">
      <c r="A32" s="34">
        <v>24</v>
      </c>
      <c r="B32" s="752" t="s">
        <v>214</v>
      </c>
      <c r="C32" s="33"/>
      <c r="D32" s="963" t="s">
        <v>14</v>
      </c>
      <c r="E32" s="646"/>
      <c r="F32" s="646"/>
      <c r="G32" s="646"/>
      <c r="H32" s="646"/>
      <c r="I32" s="646"/>
      <c r="J32" s="646"/>
      <c r="K32" s="1086"/>
    </row>
    <row r="33" spans="1:12" ht="36.75" customHeight="1" hidden="1">
      <c r="A33" s="17">
        <v>25</v>
      </c>
      <c r="B33" s="752" t="s">
        <v>214</v>
      </c>
      <c r="C33" s="33"/>
      <c r="D33" s="963" t="s">
        <v>14</v>
      </c>
      <c r="E33" s="646"/>
      <c r="F33" s="646"/>
      <c r="G33" s="646"/>
      <c r="H33" s="646"/>
      <c r="I33" s="646"/>
      <c r="J33" s="646"/>
      <c r="L33" s="965"/>
    </row>
    <row r="34" spans="1:12" ht="36.75" customHeight="1" hidden="1" thickBot="1">
      <c r="A34" s="34">
        <v>26</v>
      </c>
      <c r="B34" s="752" t="s">
        <v>214</v>
      </c>
      <c r="C34" s="33"/>
      <c r="D34" s="963" t="s">
        <v>14</v>
      </c>
      <c r="E34" s="646"/>
      <c r="F34" s="646"/>
      <c r="G34" s="646"/>
      <c r="H34" s="646"/>
      <c r="I34" s="646"/>
      <c r="J34" s="646"/>
      <c r="L34" s="965"/>
    </row>
    <row r="35" spans="1:12" ht="36.75" customHeight="1" hidden="1" thickBot="1">
      <c r="A35" s="971">
        <v>26</v>
      </c>
      <c r="B35" s="752" t="s">
        <v>214</v>
      </c>
      <c r="C35" s="33"/>
      <c r="D35" s="963" t="s">
        <v>14</v>
      </c>
      <c r="E35" s="646"/>
      <c r="F35" s="646"/>
      <c r="G35" s="646"/>
      <c r="H35" s="646"/>
      <c r="I35" s="646"/>
      <c r="J35" s="646"/>
      <c r="L35" s="965"/>
    </row>
    <row r="36" spans="1:12" s="970" customFormat="1" ht="30" customHeight="1" thickBot="1">
      <c r="A36" s="1226" t="s">
        <v>1</v>
      </c>
      <c r="B36" s="1227"/>
      <c r="C36" s="966"/>
      <c r="D36" s="967"/>
      <c r="E36" s="968">
        <f aca="true" t="shared" si="0" ref="E36:J36">SUM(E9:E35)</f>
        <v>3494285</v>
      </c>
      <c r="F36" s="968">
        <f t="shared" si="0"/>
        <v>3494285</v>
      </c>
      <c r="G36" s="968">
        <f t="shared" si="0"/>
        <v>3531785</v>
      </c>
      <c r="H36" s="968">
        <f t="shared" si="0"/>
        <v>3531785</v>
      </c>
      <c r="I36" s="968">
        <f t="shared" si="0"/>
        <v>3201046</v>
      </c>
      <c r="J36" s="968">
        <f t="shared" si="0"/>
        <v>0</v>
      </c>
      <c r="K36" s="969"/>
      <c r="L36" s="969"/>
    </row>
    <row r="37" ht="12.75" hidden="1">
      <c r="K37" s="1082">
        <f>301792+3624773</f>
        <v>3926565</v>
      </c>
    </row>
    <row r="38" spans="5:11" ht="12.75" hidden="1">
      <c r="E38" s="1082" t="str">
        <f>IF(E36='5.2 sz. m ÁMK'!D44+'5.2 sz. m ÁMK'!D46+'5.1 sz. m Köz Hiv'!D41+'5.1 sz. m Köz Hiv'!D42," ","HIBA - nem egyenlő")</f>
        <v> </v>
      </c>
      <c r="F38" s="1082" t="str">
        <f>IF(F36='5.2 sz. m ÁMK'!E44+'5.2 sz. m ÁMK'!E46+'5.1 sz. m Köz Hiv'!E41+'5.1 sz. m Köz Hiv'!E42," ","HIBA - nem egyenlő")</f>
        <v> </v>
      </c>
      <c r="H38" s="1082">
        <f>+'5.2 sz. m ÁMK'!F44+'5.1 sz. m Köz Hiv'!G41</f>
        <v>3531785</v>
      </c>
      <c r="I38" s="1082">
        <f>+'5.2 sz. m ÁMK'!G44+'5.1 sz. m Köz Hiv'!H41</f>
        <v>3162266</v>
      </c>
      <c r="J38" s="1082">
        <f>+'5.2 sz. m ÁMK'!H44+'5.1 sz. m Köz Hiv'!I41</f>
        <v>2131496</v>
      </c>
      <c r="K38" s="1082">
        <f>+K36-K37</f>
        <v>-3926565</v>
      </c>
    </row>
    <row r="39" ht="12.75" hidden="1"/>
    <row r="40" ht="12.75" hidden="1">
      <c r="H40" s="1082">
        <f>+'5.2 sz. m ÁMK'!G44</f>
        <v>2092716</v>
      </c>
    </row>
    <row r="41" ht="12.75" hidden="1">
      <c r="H41" s="1086">
        <f>SUM(H12:H35)</f>
        <v>2473716</v>
      </c>
    </row>
    <row r="42" spans="6:8" ht="12.75" hidden="1">
      <c r="F42" s="1086"/>
      <c r="H42" s="1086">
        <f>+H40-H41</f>
        <v>-381000</v>
      </c>
    </row>
    <row r="44" ht="12.75">
      <c r="I44" s="1086"/>
    </row>
  </sheetData>
  <sheetProtection/>
  <mergeCells count="6">
    <mergeCell ref="A36:B36"/>
    <mergeCell ref="A3:E3"/>
    <mergeCell ref="A4:E4"/>
    <mergeCell ref="A6:E6"/>
    <mergeCell ref="D1:I1"/>
    <mergeCell ref="C7:J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1"/>
  <rowBreaks count="1" manualBreakCount="1">
    <brk id="36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workbookViewId="0" topLeftCell="A17">
      <selection activeCell="V42" activeCellId="1" sqref="O42 V42"/>
    </sheetView>
  </sheetViews>
  <sheetFormatPr defaultColWidth="9.140625" defaultRowHeight="12.75"/>
  <cols>
    <col min="1" max="1" width="9.140625" style="8" customWidth="1"/>
    <col min="2" max="2" width="12.00390625" style="8" customWidth="1"/>
    <col min="3" max="3" width="34.7109375" style="8" customWidth="1"/>
    <col min="4" max="4" width="14.28125" style="521" customWidth="1"/>
    <col min="5" max="6" width="15.28125" style="521" customWidth="1"/>
    <col min="7" max="7" width="15.7109375" style="521" customWidth="1"/>
    <col min="8" max="8" width="16.140625" style="521" customWidth="1"/>
    <col min="9" max="9" width="15.57421875" style="521" hidden="1" customWidth="1"/>
    <col min="10" max="10" width="9.7109375" style="521" hidden="1" customWidth="1"/>
    <col min="11" max="11" width="14.140625" style="315" customWidth="1"/>
    <col min="12" max="12" width="13.8515625" style="315" customWidth="1"/>
    <col min="13" max="13" width="15.421875" style="315" customWidth="1"/>
    <col min="14" max="14" width="16.57421875" style="315" customWidth="1"/>
    <col min="15" max="15" width="14.140625" style="315" customWidth="1"/>
    <col min="16" max="16" width="13.7109375" style="315" hidden="1" customWidth="1"/>
    <col min="17" max="17" width="10.421875" style="315" hidden="1" customWidth="1"/>
    <col min="18" max="18" width="13.00390625" style="315" customWidth="1"/>
    <col min="19" max="19" width="13.7109375" style="315" customWidth="1"/>
    <col min="20" max="20" width="12.421875" style="8" customWidth="1"/>
    <col min="21" max="21" width="12.7109375" style="8" customWidth="1"/>
    <col min="22" max="22" width="13.7109375" style="8" customWidth="1"/>
    <col min="23" max="23" width="12.28125" style="8" hidden="1" customWidth="1"/>
    <col min="24" max="24" width="1.7109375" style="8" hidden="1" customWidth="1"/>
    <col min="25" max="16384" width="9.140625" style="8" customWidth="1"/>
  </cols>
  <sheetData>
    <row r="1" spans="4:23" ht="12.75">
      <c r="D1" s="516"/>
      <c r="E1" s="516"/>
      <c r="F1" s="516"/>
      <c r="G1" s="516"/>
      <c r="H1" s="516"/>
      <c r="I1" s="516"/>
      <c r="J1" s="516"/>
      <c r="K1" s="1242" t="s">
        <v>559</v>
      </c>
      <c r="L1" s="1242"/>
      <c r="M1" s="1242"/>
      <c r="N1" s="1242"/>
      <c r="O1" s="1242"/>
      <c r="P1" s="1242"/>
      <c r="Q1" s="1242"/>
      <c r="R1" s="1242"/>
      <c r="S1" s="1242"/>
      <c r="T1" s="1242"/>
      <c r="U1" s="1242"/>
      <c r="V1" s="1242"/>
      <c r="W1" s="1242"/>
    </row>
    <row r="2" spans="1:19" ht="16.5" customHeight="1">
      <c r="A2" s="1243" t="s">
        <v>358</v>
      </c>
      <c r="B2" s="1243"/>
      <c r="C2" s="1243"/>
      <c r="D2" s="1243"/>
      <c r="E2" s="1243"/>
      <c r="F2" s="1243"/>
      <c r="G2" s="1243"/>
      <c r="H2" s="1243"/>
      <c r="I2" s="1243"/>
      <c r="J2" s="1243"/>
      <c r="K2" s="1243"/>
      <c r="L2" s="1243"/>
      <c r="M2" s="1243"/>
      <c r="N2" s="1243"/>
      <c r="O2" s="1243"/>
      <c r="P2" s="1243"/>
      <c r="Q2" s="1243"/>
      <c r="R2" s="1243"/>
      <c r="S2" s="517"/>
    </row>
    <row r="3" spans="1:19" ht="15" customHeight="1">
      <c r="A3" s="1244" t="s">
        <v>641</v>
      </c>
      <c r="B3" s="1244"/>
      <c r="C3" s="1244"/>
      <c r="D3" s="1244"/>
      <c r="E3" s="1244"/>
      <c r="F3" s="1244"/>
      <c r="G3" s="1244"/>
      <c r="H3" s="1244"/>
      <c r="I3" s="1244"/>
      <c r="J3" s="1244"/>
      <c r="K3" s="1244"/>
      <c r="L3" s="1244"/>
      <c r="M3" s="1244"/>
      <c r="N3" s="1244"/>
      <c r="O3" s="1244"/>
      <c r="P3" s="1244"/>
      <c r="Q3" s="1244"/>
      <c r="R3" s="1244"/>
      <c r="S3" s="518"/>
    </row>
    <row r="4" spans="1:19" ht="15" customHeight="1">
      <c r="A4" s="1245" t="s">
        <v>359</v>
      </c>
      <c r="B4" s="1245"/>
      <c r="C4" s="1245"/>
      <c r="D4" s="1245"/>
      <c r="E4" s="1245"/>
      <c r="F4" s="1245"/>
      <c r="G4" s="1245"/>
      <c r="H4" s="1245"/>
      <c r="I4" s="1245"/>
      <c r="J4" s="1245"/>
      <c r="K4" s="1245"/>
      <c r="L4" s="1245"/>
      <c r="M4" s="1245"/>
      <c r="N4" s="1245"/>
      <c r="O4" s="1245"/>
      <c r="P4" s="1245"/>
      <c r="Q4" s="1245"/>
      <c r="R4" s="1245"/>
      <c r="S4" s="519"/>
    </row>
    <row r="5" spans="2:23" ht="13.5" thickBot="1">
      <c r="B5" s="520"/>
      <c r="C5" s="520"/>
      <c r="R5" s="1247" t="s">
        <v>478</v>
      </c>
      <c r="S5" s="1247"/>
      <c r="T5" s="1247"/>
      <c r="U5" s="1247"/>
      <c r="V5" s="1247"/>
      <c r="W5" s="1247"/>
    </row>
    <row r="6" spans="1:25" s="524" customFormat="1" ht="41.25" customHeight="1" thickBot="1">
      <c r="A6" s="522" t="s">
        <v>5</v>
      </c>
      <c r="B6" s="1246" t="s">
        <v>3</v>
      </c>
      <c r="C6" s="1246"/>
      <c r="D6" s="1248" t="s">
        <v>4</v>
      </c>
      <c r="E6" s="1249"/>
      <c r="F6" s="1249"/>
      <c r="G6" s="1249"/>
      <c r="H6" s="1249"/>
      <c r="I6" s="1249"/>
      <c r="J6" s="1250"/>
      <c r="K6" s="1248" t="s">
        <v>360</v>
      </c>
      <c r="L6" s="1249"/>
      <c r="M6" s="1249"/>
      <c r="N6" s="1249"/>
      <c r="O6" s="1249"/>
      <c r="P6" s="1249"/>
      <c r="Q6" s="1250"/>
      <c r="R6" s="1248" t="s">
        <v>361</v>
      </c>
      <c r="S6" s="1249"/>
      <c r="T6" s="1249"/>
      <c r="U6" s="1249"/>
      <c r="V6" s="1249"/>
      <c r="W6" s="1249"/>
      <c r="X6" s="1250"/>
      <c r="Y6" s="523"/>
    </row>
    <row r="7" spans="1:24" s="524" customFormat="1" ht="41.25" customHeight="1" thickBot="1">
      <c r="A7" s="29"/>
      <c r="B7" s="525"/>
      <c r="C7" s="525"/>
      <c r="D7" s="526" t="s">
        <v>64</v>
      </c>
      <c r="E7" s="527" t="s">
        <v>226</v>
      </c>
      <c r="F7" s="527" t="s">
        <v>229</v>
      </c>
      <c r="G7" s="527" t="s">
        <v>231</v>
      </c>
      <c r="H7" s="527" t="s">
        <v>243</v>
      </c>
      <c r="I7" s="527" t="s">
        <v>248</v>
      </c>
      <c r="J7" s="528" t="s">
        <v>345</v>
      </c>
      <c r="K7" s="526" t="s">
        <v>64</v>
      </c>
      <c r="L7" s="527" t="s">
        <v>226</v>
      </c>
      <c r="M7" s="527" t="s">
        <v>229</v>
      </c>
      <c r="N7" s="527" t="s">
        <v>231</v>
      </c>
      <c r="O7" s="527" t="s">
        <v>243</v>
      </c>
      <c r="P7" s="527" t="s">
        <v>248</v>
      </c>
      <c r="Q7" s="528" t="s">
        <v>345</v>
      </c>
      <c r="R7" s="526" t="s">
        <v>64</v>
      </c>
      <c r="S7" s="527" t="s">
        <v>226</v>
      </c>
      <c r="T7" s="527" t="s">
        <v>229</v>
      </c>
      <c r="U7" s="527" t="s">
        <v>231</v>
      </c>
      <c r="V7" s="527" t="s">
        <v>243</v>
      </c>
      <c r="W7" s="527" t="s">
        <v>248</v>
      </c>
      <c r="X7" s="528" t="s">
        <v>345</v>
      </c>
    </row>
    <row r="8" spans="1:24" ht="27.75" customHeight="1">
      <c r="A8" s="30">
        <v>1</v>
      </c>
      <c r="B8" s="1241" t="s">
        <v>362</v>
      </c>
      <c r="C8" s="1241"/>
      <c r="D8" s="529">
        <v>607200</v>
      </c>
      <c r="E8" s="529">
        <v>607200</v>
      </c>
      <c r="F8" s="529">
        <v>607200</v>
      </c>
      <c r="G8" s="529">
        <v>642720</v>
      </c>
      <c r="H8" s="529">
        <v>642720</v>
      </c>
      <c r="I8" s="530"/>
      <c r="J8" s="531"/>
      <c r="K8" s="529">
        <v>607200</v>
      </c>
      <c r="L8" s="529">
        <v>607200</v>
      </c>
      <c r="M8" s="529">
        <v>607200</v>
      </c>
      <c r="N8" s="529">
        <v>642720</v>
      </c>
      <c r="O8" s="529">
        <v>642720</v>
      </c>
      <c r="P8" s="530"/>
      <c r="Q8" s="531"/>
      <c r="R8" s="529"/>
      <c r="S8" s="530"/>
      <c r="T8" s="530"/>
      <c r="U8" s="530"/>
      <c r="V8" s="530"/>
      <c r="W8" s="530"/>
      <c r="X8" s="532"/>
    </row>
    <row r="9" spans="1:24" ht="27.75" customHeight="1">
      <c r="A9" s="30">
        <v>2</v>
      </c>
      <c r="B9" s="1238" t="s">
        <v>493</v>
      </c>
      <c r="C9" s="1238"/>
      <c r="D9" s="533">
        <v>147634</v>
      </c>
      <c r="E9" s="533">
        <v>147634</v>
      </c>
      <c r="F9" s="533">
        <v>147634</v>
      </c>
      <c r="G9" s="533">
        <v>147634</v>
      </c>
      <c r="H9" s="533">
        <v>147634</v>
      </c>
      <c r="I9" s="533"/>
      <c r="J9" s="535"/>
      <c r="K9" s="533">
        <v>147634</v>
      </c>
      <c r="L9" s="533">
        <v>147634</v>
      </c>
      <c r="M9" s="533">
        <v>147634</v>
      </c>
      <c r="N9" s="533">
        <v>147634</v>
      </c>
      <c r="O9" s="533">
        <v>147634</v>
      </c>
      <c r="P9" s="533"/>
      <c r="Q9" s="535"/>
      <c r="R9" s="533"/>
      <c r="S9" s="534"/>
      <c r="T9" s="534"/>
      <c r="U9" s="534"/>
      <c r="V9" s="534"/>
      <c r="W9" s="534"/>
      <c r="X9" s="536"/>
    </row>
    <row r="10" spans="1:24" ht="27.75" customHeight="1">
      <c r="A10" s="30">
        <v>3</v>
      </c>
      <c r="B10" s="1238" t="s">
        <v>363</v>
      </c>
      <c r="C10" s="1238"/>
      <c r="D10" s="533">
        <v>2000000</v>
      </c>
      <c r="E10" s="533">
        <v>2000000</v>
      </c>
      <c r="F10" s="533">
        <v>5719410</v>
      </c>
      <c r="G10" s="533">
        <v>5719410</v>
      </c>
      <c r="H10" s="533">
        <v>5719410</v>
      </c>
      <c r="I10" s="533"/>
      <c r="J10" s="535"/>
      <c r="K10" s="533">
        <v>2000000</v>
      </c>
      <c r="L10" s="533">
        <v>2000000</v>
      </c>
      <c r="M10" s="533">
        <v>5719410</v>
      </c>
      <c r="N10" s="533">
        <v>5719410</v>
      </c>
      <c r="O10" s="533">
        <v>5719410</v>
      </c>
      <c r="P10" s="533"/>
      <c r="Q10" s="535"/>
      <c r="R10" s="533"/>
      <c r="S10" s="534"/>
      <c r="T10" s="534"/>
      <c r="U10" s="534"/>
      <c r="V10" s="534"/>
      <c r="W10" s="534"/>
      <c r="X10" s="536"/>
    </row>
    <row r="11" spans="1:24" ht="27.75" customHeight="1">
      <c r="A11" s="30">
        <v>4</v>
      </c>
      <c r="B11" s="1238" t="s">
        <v>364</v>
      </c>
      <c r="C11" s="1238"/>
      <c r="D11" s="533">
        <v>1979060</v>
      </c>
      <c r="E11" s="533">
        <v>1979060</v>
      </c>
      <c r="F11" s="533">
        <v>1979060</v>
      </c>
      <c r="G11" s="533">
        <v>1979060</v>
      </c>
      <c r="H11" s="533">
        <v>2032760</v>
      </c>
      <c r="I11" s="534"/>
      <c r="J11" s="535"/>
      <c r="K11" s="533"/>
      <c r="L11" s="533"/>
      <c r="M11" s="533"/>
      <c r="N11" s="533"/>
      <c r="O11" s="533"/>
      <c r="P11" s="534"/>
      <c r="Q11" s="535"/>
      <c r="R11" s="533">
        <v>1979060</v>
      </c>
      <c r="S11" s="533">
        <v>1979060</v>
      </c>
      <c r="T11" s="533">
        <v>1979060</v>
      </c>
      <c r="U11" s="533">
        <v>1979060</v>
      </c>
      <c r="V11" s="533">
        <v>2032760</v>
      </c>
      <c r="W11" s="534"/>
      <c r="X11" s="535">
        <f>V11/U11</f>
        <v>1.027134093963801</v>
      </c>
    </row>
    <row r="12" spans="1:24" ht="27.75" customHeight="1">
      <c r="A12" s="30">
        <v>5</v>
      </c>
      <c r="B12" s="1238" t="s">
        <v>365</v>
      </c>
      <c r="C12" s="1238"/>
      <c r="D12" s="533">
        <v>6574452</v>
      </c>
      <c r="E12" s="533">
        <v>6574452</v>
      </c>
      <c r="F12" s="533">
        <v>6574452</v>
      </c>
      <c r="G12" s="533">
        <v>6574452</v>
      </c>
      <c r="H12" s="533">
        <v>6951810</v>
      </c>
      <c r="I12" s="534"/>
      <c r="J12" s="535"/>
      <c r="K12" s="533">
        <v>6574452</v>
      </c>
      <c r="L12" s="533">
        <v>6574452</v>
      </c>
      <c r="M12" s="533">
        <v>6574452</v>
      </c>
      <c r="N12" s="533">
        <v>6574452</v>
      </c>
      <c r="O12" s="533">
        <v>6951810</v>
      </c>
      <c r="P12" s="534"/>
      <c r="Q12" s="535"/>
      <c r="R12" s="533"/>
      <c r="S12" s="534"/>
      <c r="T12" s="534"/>
      <c r="U12" s="534"/>
      <c r="V12" s="534"/>
      <c r="W12" s="534"/>
      <c r="X12" s="536"/>
    </row>
    <row r="13" spans="1:24" ht="27.75" customHeight="1">
      <c r="A13" s="30">
        <v>6</v>
      </c>
      <c r="B13" s="1238" t="s">
        <v>366</v>
      </c>
      <c r="C13" s="1238"/>
      <c r="D13" s="533">
        <v>32236536</v>
      </c>
      <c r="E13" s="533">
        <v>32593536</v>
      </c>
      <c r="F13" s="533">
        <v>37648930</v>
      </c>
      <c r="G13" s="533">
        <v>37748930</v>
      </c>
      <c r="H13" s="533">
        <v>151526577</v>
      </c>
      <c r="I13" s="534"/>
      <c r="J13" s="535"/>
      <c r="K13" s="533">
        <v>32236536</v>
      </c>
      <c r="L13" s="533">
        <v>32593536</v>
      </c>
      <c r="M13" s="533">
        <v>37648930</v>
      </c>
      <c r="N13" s="533">
        <v>37748930</v>
      </c>
      <c r="O13" s="533">
        <v>151526577</v>
      </c>
      <c r="P13" s="534"/>
      <c r="Q13" s="535"/>
      <c r="R13" s="533"/>
      <c r="S13" s="534"/>
      <c r="T13" s="534"/>
      <c r="U13" s="534"/>
      <c r="V13" s="534"/>
      <c r="W13" s="534"/>
      <c r="X13" s="536"/>
    </row>
    <row r="14" spans="1:24" ht="27.75" customHeight="1">
      <c r="A14" s="30">
        <v>7</v>
      </c>
      <c r="B14" s="1238" t="s">
        <v>367</v>
      </c>
      <c r="C14" s="1238"/>
      <c r="D14" s="533">
        <v>2427681</v>
      </c>
      <c r="E14" s="533">
        <v>2427681</v>
      </c>
      <c r="F14" s="533">
        <v>2427681</v>
      </c>
      <c r="G14" s="533">
        <v>2427681</v>
      </c>
      <c r="H14" s="533">
        <v>2427681</v>
      </c>
      <c r="I14" s="534"/>
      <c r="J14" s="535"/>
      <c r="K14" s="533">
        <v>2427681</v>
      </c>
      <c r="L14" s="533">
        <v>2427681</v>
      </c>
      <c r="M14" s="533">
        <v>2427681</v>
      </c>
      <c r="N14" s="533">
        <v>2427681</v>
      </c>
      <c r="O14" s="533">
        <v>2427681</v>
      </c>
      <c r="P14" s="534"/>
      <c r="Q14" s="535"/>
      <c r="R14" s="533"/>
      <c r="S14" s="534"/>
      <c r="T14" s="534"/>
      <c r="U14" s="534"/>
      <c r="V14" s="534"/>
      <c r="W14" s="534"/>
      <c r="X14" s="536"/>
    </row>
    <row r="15" spans="1:24" ht="27.75" customHeight="1">
      <c r="A15" s="30">
        <v>8</v>
      </c>
      <c r="B15" s="1238" t="s">
        <v>368</v>
      </c>
      <c r="C15" s="1238"/>
      <c r="D15" s="533">
        <v>189600</v>
      </c>
      <c r="E15" s="533">
        <v>189600</v>
      </c>
      <c r="F15" s="533">
        <v>189600</v>
      </c>
      <c r="G15" s="533">
        <v>189600</v>
      </c>
      <c r="H15" s="533">
        <v>639600</v>
      </c>
      <c r="I15" s="533"/>
      <c r="J15" s="535"/>
      <c r="K15" s="533">
        <v>189600</v>
      </c>
      <c r="L15" s="533">
        <v>189600</v>
      </c>
      <c r="M15" s="533">
        <v>189600</v>
      </c>
      <c r="N15" s="533">
        <v>189600</v>
      </c>
      <c r="O15" s="533">
        <v>639600</v>
      </c>
      <c r="P15" s="533"/>
      <c r="Q15" s="535"/>
      <c r="R15" s="533"/>
      <c r="S15" s="534"/>
      <c r="T15" s="534"/>
      <c r="U15" s="534"/>
      <c r="V15" s="534"/>
      <c r="W15" s="534"/>
      <c r="X15" s="536"/>
    </row>
    <row r="16" spans="1:24" ht="36" customHeight="1" hidden="1">
      <c r="A16" s="30">
        <v>10</v>
      </c>
      <c r="B16" s="1239" t="s">
        <v>369</v>
      </c>
      <c r="C16" s="1240"/>
      <c r="D16" s="533"/>
      <c r="E16" s="533"/>
      <c r="F16" s="533"/>
      <c r="G16" s="533"/>
      <c r="H16" s="533"/>
      <c r="I16" s="534"/>
      <c r="J16" s="535"/>
      <c r="K16" s="533"/>
      <c r="L16" s="533"/>
      <c r="M16" s="533"/>
      <c r="N16" s="533"/>
      <c r="O16" s="533"/>
      <c r="P16" s="534"/>
      <c r="Q16" s="535"/>
      <c r="R16" s="533"/>
      <c r="S16" s="534"/>
      <c r="T16" s="534"/>
      <c r="U16" s="534"/>
      <c r="V16" s="534"/>
      <c r="W16" s="534"/>
      <c r="X16" s="536"/>
    </row>
    <row r="17" spans="1:24" ht="27.75" customHeight="1">
      <c r="A17" s="30">
        <v>9</v>
      </c>
      <c r="B17" s="1233" t="s">
        <v>370</v>
      </c>
      <c r="C17" s="1233"/>
      <c r="D17" s="537">
        <v>1206500</v>
      </c>
      <c r="E17" s="537">
        <v>1206500</v>
      </c>
      <c r="F17" s="537">
        <v>1206500</v>
      </c>
      <c r="G17" s="537">
        <v>1206500</v>
      </c>
      <c r="H17" s="537">
        <v>1366500</v>
      </c>
      <c r="I17" s="537"/>
      <c r="J17" s="535"/>
      <c r="K17" s="537">
        <v>1206500</v>
      </c>
      <c r="L17" s="537">
        <v>1206500</v>
      </c>
      <c r="M17" s="537">
        <v>1206500</v>
      </c>
      <c r="N17" s="537">
        <v>1206500</v>
      </c>
      <c r="O17" s="537">
        <v>1366500</v>
      </c>
      <c r="P17" s="537"/>
      <c r="Q17" s="535"/>
      <c r="R17" s="537"/>
      <c r="S17" s="538"/>
      <c r="T17" s="538"/>
      <c r="U17" s="538"/>
      <c r="V17" s="538"/>
      <c r="W17" s="538"/>
      <c r="X17" s="539"/>
    </row>
    <row r="18" spans="1:24" ht="27.75" customHeight="1">
      <c r="A18" s="30">
        <v>10</v>
      </c>
      <c r="B18" s="1232" t="s">
        <v>477</v>
      </c>
      <c r="C18" s="1233"/>
      <c r="D18" s="537">
        <v>17035</v>
      </c>
      <c r="E18" s="537">
        <v>17035</v>
      </c>
      <c r="F18" s="537">
        <v>17035</v>
      </c>
      <c r="G18" s="537">
        <v>17035</v>
      </c>
      <c r="H18" s="537">
        <v>12832</v>
      </c>
      <c r="I18" s="537"/>
      <c r="J18" s="535"/>
      <c r="K18" s="537">
        <v>17035</v>
      </c>
      <c r="L18" s="537">
        <v>17035</v>
      </c>
      <c r="M18" s="537">
        <v>17035</v>
      </c>
      <c r="N18" s="537">
        <v>17035</v>
      </c>
      <c r="O18" s="537">
        <v>12832</v>
      </c>
      <c r="P18" s="537"/>
      <c r="Q18" s="535"/>
      <c r="R18" s="537"/>
      <c r="S18" s="538"/>
      <c r="T18" s="538"/>
      <c r="U18" s="538"/>
      <c r="V18" s="538"/>
      <c r="W18" s="538"/>
      <c r="X18" s="539"/>
    </row>
    <row r="19" spans="1:24" ht="27.75" customHeight="1">
      <c r="A19" s="30">
        <v>11</v>
      </c>
      <c r="B19" s="1232" t="s">
        <v>515</v>
      </c>
      <c r="C19" s="1233"/>
      <c r="D19" s="537"/>
      <c r="E19" s="537"/>
      <c r="F19" s="537">
        <v>2336800</v>
      </c>
      <c r="G19" s="537">
        <f>2979538-642738</f>
        <v>2336800</v>
      </c>
      <c r="H19" s="537">
        <v>2979538</v>
      </c>
      <c r="I19" s="538"/>
      <c r="J19" s="535"/>
      <c r="K19" s="537"/>
      <c r="L19" s="537"/>
      <c r="M19" s="537">
        <v>2336800</v>
      </c>
      <c r="N19" s="537">
        <f>2979538-642738</f>
        <v>2336800</v>
      </c>
      <c r="O19" s="537">
        <v>2979538</v>
      </c>
      <c r="P19" s="538"/>
      <c r="Q19" s="535"/>
      <c r="R19" s="537"/>
      <c r="S19" s="538"/>
      <c r="T19" s="538"/>
      <c r="U19" s="538"/>
      <c r="V19" s="538"/>
      <c r="W19" s="538"/>
      <c r="X19" s="539"/>
    </row>
    <row r="20" spans="1:24" ht="27.75" customHeight="1">
      <c r="A20" s="30">
        <v>12</v>
      </c>
      <c r="B20" s="1232" t="s">
        <v>565</v>
      </c>
      <c r="C20" s="1233"/>
      <c r="D20" s="537">
        <v>43815018</v>
      </c>
      <c r="E20" s="537">
        <v>43815018</v>
      </c>
      <c r="F20" s="537">
        <v>43815018</v>
      </c>
      <c r="G20" s="537">
        <v>42695018</v>
      </c>
      <c r="H20" s="537">
        <v>42695018</v>
      </c>
      <c r="I20" s="538"/>
      <c r="J20" s="535"/>
      <c r="K20" s="537"/>
      <c r="L20" s="537"/>
      <c r="M20" s="537"/>
      <c r="N20" s="537"/>
      <c r="O20" s="537"/>
      <c r="P20" s="538"/>
      <c r="Q20" s="535"/>
      <c r="R20" s="537">
        <v>43815018</v>
      </c>
      <c r="S20" s="537">
        <v>43815018</v>
      </c>
      <c r="T20" s="537">
        <v>43815018</v>
      </c>
      <c r="U20" s="537">
        <v>42695018</v>
      </c>
      <c r="V20" s="537">
        <v>42695018</v>
      </c>
      <c r="W20" s="538"/>
      <c r="X20" s="539"/>
    </row>
    <row r="21" spans="1:24" ht="27.75" customHeight="1" hidden="1">
      <c r="A21" s="30">
        <v>13</v>
      </c>
      <c r="B21" s="1232" t="s">
        <v>516</v>
      </c>
      <c r="C21" s="1233"/>
      <c r="D21" s="537"/>
      <c r="E21" s="537"/>
      <c r="F21" s="537"/>
      <c r="G21" s="537"/>
      <c r="H21" s="537"/>
      <c r="I21" s="538"/>
      <c r="J21" s="535"/>
      <c r="K21" s="537"/>
      <c r="L21" s="537"/>
      <c r="M21" s="537"/>
      <c r="N21" s="537"/>
      <c r="O21" s="537"/>
      <c r="P21" s="538"/>
      <c r="Q21" s="535"/>
      <c r="R21" s="537"/>
      <c r="S21" s="538"/>
      <c r="T21" s="538"/>
      <c r="U21" s="538"/>
      <c r="V21" s="538"/>
      <c r="W21" s="538"/>
      <c r="X21" s="539"/>
    </row>
    <row r="22" spans="1:24" ht="27.75" customHeight="1" hidden="1">
      <c r="A22" s="30">
        <v>14</v>
      </c>
      <c r="B22" s="1232" t="s">
        <v>539</v>
      </c>
      <c r="C22" s="1233"/>
      <c r="D22" s="537"/>
      <c r="E22" s="537"/>
      <c r="F22" s="537"/>
      <c r="G22" s="537"/>
      <c r="H22" s="537"/>
      <c r="I22" s="538"/>
      <c r="J22" s="535"/>
      <c r="K22" s="537"/>
      <c r="L22" s="537"/>
      <c r="M22" s="537"/>
      <c r="N22" s="537"/>
      <c r="O22" s="537"/>
      <c r="P22" s="538"/>
      <c r="Q22" s="535"/>
      <c r="R22" s="537"/>
      <c r="S22" s="538"/>
      <c r="T22" s="538"/>
      <c r="U22" s="538"/>
      <c r="V22" s="538"/>
      <c r="W22" s="538"/>
      <c r="X22" s="539"/>
    </row>
    <row r="23" spans="1:24" ht="27.75" customHeight="1">
      <c r="A23" s="30">
        <v>15</v>
      </c>
      <c r="B23" s="1232" t="s">
        <v>564</v>
      </c>
      <c r="C23" s="1233"/>
      <c r="D23" s="537">
        <v>48416</v>
      </c>
      <c r="E23" s="537">
        <v>48416</v>
      </c>
      <c r="F23" s="537">
        <v>48416</v>
      </c>
      <c r="G23" s="537">
        <v>47276</v>
      </c>
      <c r="H23" s="537">
        <v>0</v>
      </c>
      <c r="I23" s="538"/>
      <c r="J23" s="535"/>
      <c r="K23" s="537">
        <v>48416</v>
      </c>
      <c r="L23" s="537">
        <v>48416</v>
      </c>
      <c r="M23" s="537">
        <v>48416</v>
      </c>
      <c r="N23" s="537">
        <v>47276</v>
      </c>
      <c r="O23" s="537">
        <v>0</v>
      </c>
      <c r="P23" s="538"/>
      <c r="Q23" s="535"/>
      <c r="R23" s="537"/>
      <c r="S23" s="538"/>
      <c r="T23" s="538"/>
      <c r="U23" s="538"/>
      <c r="V23" s="538"/>
      <c r="W23" s="538"/>
      <c r="X23" s="539"/>
    </row>
    <row r="24" spans="1:24" ht="27.75" customHeight="1" hidden="1">
      <c r="A24" s="30">
        <v>16</v>
      </c>
      <c r="B24" s="1232" t="s">
        <v>540</v>
      </c>
      <c r="C24" s="1233"/>
      <c r="D24" s="537"/>
      <c r="E24" s="537"/>
      <c r="F24" s="537"/>
      <c r="G24" s="537"/>
      <c r="H24" s="537"/>
      <c r="I24" s="538"/>
      <c r="J24" s="535"/>
      <c r="K24" s="537"/>
      <c r="L24" s="537"/>
      <c r="M24" s="537"/>
      <c r="N24" s="537"/>
      <c r="O24" s="537"/>
      <c r="P24" s="538"/>
      <c r="Q24" s="535"/>
      <c r="R24" s="537"/>
      <c r="S24" s="538"/>
      <c r="T24" s="538"/>
      <c r="U24" s="538"/>
      <c r="V24" s="538"/>
      <c r="W24" s="538"/>
      <c r="X24" s="539"/>
    </row>
    <row r="25" spans="1:24" ht="27.75" customHeight="1" hidden="1" thickBot="1">
      <c r="A25" s="30">
        <v>17</v>
      </c>
      <c r="B25" s="1236" t="s">
        <v>391</v>
      </c>
      <c r="C25" s="1237"/>
      <c r="D25" s="537"/>
      <c r="E25" s="537"/>
      <c r="F25" s="537"/>
      <c r="G25" s="537"/>
      <c r="H25" s="537"/>
      <c r="I25" s="538"/>
      <c r="J25" s="535"/>
      <c r="K25" s="537"/>
      <c r="L25" s="537"/>
      <c r="M25" s="537"/>
      <c r="N25" s="537"/>
      <c r="O25" s="537"/>
      <c r="P25" s="538"/>
      <c r="Q25" s="535"/>
      <c r="R25" s="537"/>
      <c r="S25" s="538"/>
      <c r="T25" s="538"/>
      <c r="U25" s="538"/>
      <c r="V25" s="538"/>
      <c r="W25" s="538"/>
      <c r="X25" s="539"/>
    </row>
    <row r="26" spans="1:24" ht="27.75" customHeight="1">
      <c r="A26" s="30">
        <v>18</v>
      </c>
      <c r="B26" s="1232" t="s">
        <v>563</v>
      </c>
      <c r="C26" s="1233"/>
      <c r="D26" s="537">
        <v>642738</v>
      </c>
      <c r="E26" s="537">
        <v>642738</v>
      </c>
      <c r="F26" s="537">
        <v>642738</v>
      </c>
      <c r="G26" s="537">
        <v>642738</v>
      </c>
      <c r="H26" s="537"/>
      <c r="I26" s="538"/>
      <c r="J26" s="535"/>
      <c r="K26" s="537">
        <v>642738</v>
      </c>
      <c r="L26" s="537">
        <v>642738</v>
      </c>
      <c r="M26" s="537">
        <v>642738</v>
      </c>
      <c r="N26" s="537">
        <v>642738</v>
      </c>
      <c r="O26" s="537"/>
      <c r="P26" s="538"/>
      <c r="Q26" s="535"/>
      <c r="R26" s="537"/>
      <c r="S26" s="538"/>
      <c r="T26" s="538"/>
      <c r="U26" s="538"/>
      <c r="V26" s="538"/>
      <c r="W26" s="538"/>
      <c r="X26" s="539"/>
    </row>
    <row r="27" spans="1:24" ht="27.75" customHeight="1" hidden="1">
      <c r="A27" s="30">
        <v>19</v>
      </c>
      <c r="B27" s="1232" t="s">
        <v>561</v>
      </c>
      <c r="C27" s="1233"/>
      <c r="D27" s="537"/>
      <c r="E27" s="537"/>
      <c r="F27" s="537"/>
      <c r="G27" s="537"/>
      <c r="H27" s="537"/>
      <c r="I27" s="538"/>
      <c r="J27" s="535"/>
      <c r="K27" s="537"/>
      <c r="L27" s="537"/>
      <c r="M27" s="537"/>
      <c r="N27" s="537"/>
      <c r="O27" s="537"/>
      <c r="P27" s="538"/>
      <c r="Q27" s="535"/>
      <c r="R27" s="537"/>
      <c r="S27" s="538"/>
      <c r="T27" s="538"/>
      <c r="U27" s="538"/>
      <c r="V27" s="538"/>
      <c r="W27" s="538"/>
      <c r="X27" s="539"/>
    </row>
    <row r="28" spans="1:24" ht="27.75" customHeight="1">
      <c r="A28" s="30">
        <v>20</v>
      </c>
      <c r="B28" s="1232" t="s">
        <v>562</v>
      </c>
      <c r="C28" s="1233"/>
      <c r="D28" s="537">
        <v>4597515</v>
      </c>
      <c r="E28" s="537">
        <v>4597515</v>
      </c>
      <c r="F28" s="537">
        <v>4597515</v>
      </c>
      <c r="G28" s="537">
        <v>4597515</v>
      </c>
      <c r="H28" s="537">
        <v>4597515</v>
      </c>
      <c r="I28" s="538"/>
      <c r="J28" s="535"/>
      <c r="K28" s="537">
        <v>4597515</v>
      </c>
      <c r="L28" s="537">
        <v>4597515</v>
      </c>
      <c r="M28" s="537">
        <v>4597515</v>
      </c>
      <c r="N28" s="537">
        <v>4597515</v>
      </c>
      <c r="O28" s="537">
        <v>4597515</v>
      </c>
      <c r="P28" s="538"/>
      <c r="Q28" s="535"/>
      <c r="R28" s="537"/>
      <c r="S28" s="538"/>
      <c r="T28" s="538"/>
      <c r="U28" s="538"/>
      <c r="V28" s="538"/>
      <c r="W28" s="538"/>
      <c r="X28" s="539"/>
    </row>
    <row r="29" spans="1:24" ht="27.75" customHeight="1" hidden="1">
      <c r="A29" s="30">
        <v>21</v>
      </c>
      <c r="B29" s="1232" t="s">
        <v>540</v>
      </c>
      <c r="C29" s="1235"/>
      <c r="D29" s="919"/>
      <c r="E29" s="919"/>
      <c r="F29" s="919"/>
      <c r="G29" s="919"/>
      <c r="H29" s="919"/>
      <c r="I29" s="920"/>
      <c r="J29" s="921"/>
      <c r="K29" s="919"/>
      <c r="L29" s="919"/>
      <c r="M29" s="919"/>
      <c r="N29" s="919"/>
      <c r="O29" s="919"/>
      <c r="P29" s="920"/>
      <c r="Q29" s="921"/>
      <c r="R29" s="919"/>
      <c r="S29" s="920"/>
      <c r="T29" s="920"/>
      <c r="U29" s="920"/>
      <c r="V29" s="920"/>
      <c r="W29" s="920"/>
      <c r="X29" s="922"/>
    </row>
    <row r="30" spans="1:24" ht="27.75" customHeight="1" hidden="1">
      <c r="A30" s="30">
        <v>22</v>
      </c>
      <c r="B30" s="1232" t="s">
        <v>515</v>
      </c>
      <c r="C30" s="1235"/>
      <c r="D30" s="919"/>
      <c r="E30" s="919"/>
      <c r="F30" s="919"/>
      <c r="G30" s="919"/>
      <c r="H30" s="919"/>
      <c r="I30" s="920"/>
      <c r="J30" s="921"/>
      <c r="K30" s="919"/>
      <c r="L30" s="919"/>
      <c r="M30" s="919"/>
      <c r="N30" s="919"/>
      <c r="O30" s="919"/>
      <c r="P30" s="920"/>
      <c r="Q30" s="921"/>
      <c r="R30" s="919"/>
      <c r="S30" s="920"/>
      <c r="T30" s="920"/>
      <c r="U30" s="920"/>
      <c r="V30" s="920"/>
      <c r="W30" s="920"/>
      <c r="X30" s="922"/>
    </row>
    <row r="31" spans="1:24" ht="27.75" customHeight="1" hidden="1">
      <c r="A31" s="30">
        <v>23</v>
      </c>
      <c r="B31" s="1232" t="s">
        <v>615</v>
      </c>
      <c r="C31" s="1235"/>
      <c r="D31" s="919"/>
      <c r="E31" s="919"/>
      <c r="F31" s="919"/>
      <c r="G31" s="919"/>
      <c r="H31" s="919"/>
      <c r="I31" s="920"/>
      <c r="J31" s="921"/>
      <c r="K31" s="919"/>
      <c r="L31" s="919"/>
      <c r="M31" s="919"/>
      <c r="N31" s="919"/>
      <c r="O31" s="919"/>
      <c r="P31" s="920"/>
      <c r="Q31" s="921"/>
      <c r="R31" s="919"/>
      <c r="S31" s="920"/>
      <c r="T31" s="920"/>
      <c r="U31" s="920"/>
      <c r="V31" s="920"/>
      <c r="W31" s="920"/>
      <c r="X31" s="922"/>
    </row>
    <row r="32" spans="1:24" ht="27.75" customHeight="1" hidden="1">
      <c r="A32" s="30">
        <v>24</v>
      </c>
      <c r="B32" s="1232" t="s">
        <v>616</v>
      </c>
      <c r="C32" s="1235"/>
      <c r="D32" s="919"/>
      <c r="E32" s="919"/>
      <c r="F32" s="919"/>
      <c r="G32" s="919"/>
      <c r="H32" s="919"/>
      <c r="I32" s="920"/>
      <c r="J32" s="921"/>
      <c r="K32" s="919"/>
      <c r="L32" s="919"/>
      <c r="M32" s="919"/>
      <c r="N32" s="919"/>
      <c r="O32" s="919"/>
      <c r="P32" s="920"/>
      <c r="Q32" s="921"/>
      <c r="R32" s="919"/>
      <c r="S32" s="920"/>
      <c r="T32" s="920"/>
      <c r="U32" s="920"/>
      <c r="V32" s="920"/>
      <c r="W32" s="920"/>
      <c r="X32" s="922"/>
    </row>
    <row r="33" spans="1:24" ht="27.75" customHeight="1" hidden="1">
      <c r="A33" s="30">
        <v>25</v>
      </c>
      <c r="B33" s="1232"/>
      <c r="C33" s="1235"/>
      <c r="D33" s="919"/>
      <c r="E33" s="919"/>
      <c r="F33" s="919"/>
      <c r="G33" s="919"/>
      <c r="H33" s="919"/>
      <c r="I33" s="920"/>
      <c r="J33" s="921"/>
      <c r="K33" s="919"/>
      <c r="L33" s="919"/>
      <c r="M33" s="919"/>
      <c r="N33" s="919"/>
      <c r="O33" s="919"/>
      <c r="P33" s="920"/>
      <c r="Q33" s="921"/>
      <c r="R33" s="919"/>
      <c r="S33" s="920"/>
      <c r="T33" s="920"/>
      <c r="U33" s="920"/>
      <c r="V33" s="920"/>
      <c r="W33" s="920"/>
      <c r="X33" s="922"/>
    </row>
    <row r="34" spans="1:24" ht="27.75" customHeight="1" hidden="1">
      <c r="A34" s="30">
        <v>26</v>
      </c>
      <c r="B34" s="1232"/>
      <c r="C34" s="1235"/>
      <c r="D34" s="919"/>
      <c r="E34" s="919"/>
      <c r="F34" s="919"/>
      <c r="G34" s="919"/>
      <c r="H34" s="919"/>
      <c r="I34" s="920"/>
      <c r="J34" s="921"/>
      <c r="K34" s="919"/>
      <c r="L34" s="919"/>
      <c r="M34" s="919"/>
      <c r="N34" s="919"/>
      <c r="O34" s="919"/>
      <c r="P34" s="920"/>
      <c r="Q34" s="921"/>
      <c r="R34" s="919"/>
      <c r="S34" s="920"/>
      <c r="T34" s="920"/>
      <c r="U34" s="920"/>
      <c r="V34" s="920"/>
      <c r="W34" s="920"/>
      <c r="X34" s="922"/>
    </row>
    <row r="35" spans="1:24" ht="27.75" customHeight="1">
      <c r="A35" s="30">
        <v>27</v>
      </c>
      <c r="B35" s="1232" t="s">
        <v>391</v>
      </c>
      <c r="C35" s="1233"/>
      <c r="D35" s="537">
        <v>5165400</v>
      </c>
      <c r="E35" s="537">
        <v>5165400</v>
      </c>
      <c r="F35" s="537">
        <v>5165400</v>
      </c>
      <c r="G35" s="537">
        <v>5165400</v>
      </c>
      <c r="H35" s="537">
        <v>5165400</v>
      </c>
      <c r="I35" s="538"/>
      <c r="J35" s="535"/>
      <c r="K35" s="537">
        <v>5165400</v>
      </c>
      <c r="L35" s="537">
        <v>5165400</v>
      </c>
      <c r="M35" s="537">
        <v>5165400</v>
      </c>
      <c r="N35" s="537">
        <v>5165400</v>
      </c>
      <c r="O35" s="537">
        <v>5165400</v>
      </c>
      <c r="P35" s="538"/>
      <c r="Q35" s="535"/>
      <c r="R35" s="537"/>
      <c r="S35" s="538"/>
      <c r="T35" s="538"/>
      <c r="U35" s="538"/>
      <c r="V35" s="538"/>
      <c r="W35" s="538"/>
      <c r="X35" s="539"/>
    </row>
    <row r="36" spans="1:24" ht="27.75" customHeight="1">
      <c r="A36" s="30">
        <v>28</v>
      </c>
      <c r="B36" s="1232" t="s">
        <v>716</v>
      </c>
      <c r="C36" s="1233"/>
      <c r="D36" s="537"/>
      <c r="E36" s="537"/>
      <c r="F36" s="537"/>
      <c r="G36" s="537">
        <v>2057400</v>
      </c>
      <c r="H36" s="537">
        <v>4412810</v>
      </c>
      <c r="I36" s="538"/>
      <c r="J36" s="535"/>
      <c r="K36" s="537"/>
      <c r="L36" s="537"/>
      <c r="M36" s="537"/>
      <c r="N36" s="537">
        <v>2057400</v>
      </c>
      <c r="O36" s="537">
        <v>4412810</v>
      </c>
      <c r="P36" s="538"/>
      <c r="Q36" s="535"/>
      <c r="R36" s="537"/>
      <c r="S36" s="538"/>
      <c r="T36" s="538"/>
      <c r="U36" s="538"/>
      <c r="V36" s="538"/>
      <c r="W36" s="538"/>
      <c r="X36" s="539"/>
    </row>
    <row r="37" spans="1:24" ht="27.75" customHeight="1">
      <c r="A37" s="30">
        <v>29</v>
      </c>
      <c r="B37" s="1232" t="s">
        <v>694</v>
      </c>
      <c r="C37" s="1233"/>
      <c r="D37" s="537"/>
      <c r="E37" s="537"/>
      <c r="F37" s="537"/>
      <c r="G37" s="537">
        <v>4432000</v>
      </c>
      <c r="H37" s="537">
        <v>6063850</v>
      </c>
      <c r="I37" s="538"/>
      <c r="J37" s="535"/>
      <c r="K37" s="537"/>
      <c r="L37" s="537"/>
      <c r="M37" s="537"/>
      <c r="N37" s="537">
        <v>4432000</v>
      </c>
      <c r="O37" s="537">
        <v>6063850</v>
      </c>
      <c r="P37" s="538"/>
      <c r="Q37" s="535"/>
      <c r="R37" s="537"/>
      <c r="S37" s="538"/>
      <c r="T37" s="538"/>
      <c r="U37" s="538"/>
      <c r="V37" s="538"/>
      <c r="W37" s="538"/>
      <c r="X37" s="539"/>
    </row>
    <row r="38" spans="1:24" ht="27.75" customHeight="1">
      <c r="A38" s="30">
        <v>30</v>
      </c>
      <c r="B38" s="1232" t="s">
        <v>713</v>
      </c>
      <c r="C38" s="1233"/>
      <c r="D38" s="537"/>
      <c r="E38" s="537"/>
      <c r="F38" s="537"/>
      <c r="G38" s="537"/>
      <c r="H38" s="537">
        <v>464818</v>
      </c>
      <c r="I38" s="538"/>
      <c r="J38" s="535"/>
      <c r="K38" s="537"/>
      <c r="L38" s="537"/>
      <c r="M38" s="537"/>
      <c r="N38" s="537"/>
      <c r="O38" s="537">
        <v>464818</v>
      </c>
      <c r="P38" s="538"/>
      <c r="Q38" s="535"/>
      <c r="R38" s="537"/>
      <c r="S38" s="538"/>
      <c r="T38" s="538"/>
      <c r="U38" s="538"/>
      <c r="V38" s="538"/>
      <c r="W38" s="538"/>
      <c r="X38" s="539"/>
    </row>
    <row r="39" spans="1:24" ht="27.75" customHeight="1">
      <c r="A39" s="30">
        <v>31</v>
      </c>
      <c r="B39" s="1232" t="s">
        <v>714</v>
      </c>
      <c r="C39" s="1233"/>
      <c r="D39" s="537"/>
      <c r="E39" s="537"/>
      <c r="F39" s="537"/>
      <c r="G39" s="537"/>
      <c r="H39" s="537">
        <v>114624</v>
      </c>
      <c r="I39" s="538"/>
      <c r="J39" s="535"/>
      <c r="K39" s="537"/>
      <c r="L39" s="537"/>
      <c r="M39" s="537"/>
      <c r="N39" s="537"/>
      <c r="O39" s="537">
        <v>114624</v>
      </c>
      <c r="P39" s="538"/>
      <c r="Q39" s="535"/>
      <c r="R39" s="537"/>
      <c r="S39" s="538"/>
      <c r="T39" s="538"/>
      <c r="U39" s="538"/>
      <c r="V39" s="538"/>
      <c r="W39" s="538"/>
      <c r="X39" s="539"/>
    </row>
    <row r="40" spans="1:24" ht="27.75" customHeight="1" thickBot="1">
      <c r="A40" s="30">
        <v>32</v>
      </c>
      <c r="B40" s="1232" t="s">
        <v>715</v>
      </c>
      <c r="C40" s="1233"/>
      <c r="D40" s="537"/>
      <c r="E40" s="537"/>
      <c r="F40" s="537"/>
      <c r="G40" s="537"/>
      <c r="H40" s="537">
        <v>6198000</v>
      </c>
      <c r="I40" s="538"/>
      <c r="J40" s="535"/>
      <c r="K40" s="537"/>
      <c r="L40" s="537"/>
      <c r="M40" s="537"/>
      <c r="N40" s="537"/>
      <c r="O40" s="537">
        <v>6198000</v>
      </c>
      <c r="P40" s="538"/>
      <c r="Q40" s="535"/>
      <c r="R40" s="537"/>
      <c r="S40" s="538"/>
      <c r="T40" s="538"/>
      <c r="U40" s="538"/>
      <c r="V40" s="538"/>
      <c r="W40" s="538"/>
      <c r="X40" s="539"/>
    </row>
    <row r="41" spans="1:24" ht="27.75" customHeight="1" hidden="1" thickBot="1">
      <c r="A41" s="30"/>
      <c r="B41" s="1232"/>
      <c r="C41" s="1233"/>
      <c r="D41" s="537"/>
      <c r="E41" s="537"/>
      <c r="F41" s="537"/>
      <c r="G41" s="537"/>
      <c r="H41" s="537"/>
      <c r="I41" s="538"/>
      <c r="J41" s="535"/>
      <c r="K41" s="537"/>
      <c r="L41" s="537"/>
      <c r="M41" s="537"/>
      <c r="N41" s="537"/>
      <c r="O41" s="537"/>
      <c r="P41" s="538"/>
      <c r="Q41" s="535"/>
      <c r="R41" s="537"/>
      <c r="S41" s="538"/>
      <c r="T41" s="538"/>
      <c r="U41" s="538"/>
      <c r="V41" s="538"/>
      <c r="W41" s="538"/>
      <c r="X41" s="539"/>
    </row>
    <row r="42" spans="1:24" ht="32.25" customHeight="1" thickBot="1">
      <c r="A42" s="540"/>
      <c r="B42" s="1234" t="s">
        <v>371</v>
      </c>
      <c r="C42" s="1234"/>
      <c r="D42" s="541">
        <f>SUM(D8:D35)</f>
        <v>101654785</v>
      </c>
      <c r="E42" s="541">
        <f>SUM(E8:E35)</f>
        <v>102011785</v>
      </c>
      <c r="F42" s="541">
        <f>SUM(F8:F35)</f>
        <v>113123389</v>
      </c>
      <c r="G42" s="541">
        <f>SUM(G8:G38)</f>
        <v>118627169</v>
      </c>
      <c r="H42" s="541">
        <f>SUM(H8:H41)</f>
        <v>244159097</v>
      </c>
      <c r="I42" s="541">
        <f>SUM(I8:I35)</f>
        <v>0</v>
      </c>
      <c r="J42" s="541">
        <f>SUM(J8:J35)</f>
        <v>0</v>
      </c>
      <c r="K42" s="541">
        <f>SUM(K8:K35)</f>
        <v>55860707</v>
      </c>
      <c r="L42" s="541">
        <f>SUM(L8:L35)</f>
        <v>56217707</v>
      </c>
      <c r="M42" s="541">
        <f>SUM(M8:M35)</f>
        <v>67329311</v>
      </c>
      <c r="N42" s="541">
        <f>SUM(N8:N37)</f>
        <v>73953091</v>
      </c>
      <c r="O42" s="541">
        <f>SUM(O8:O40)</f>
        <v>199431319</v>
      </c>
      <c r="P42" s="541">
        <f aca="true" t="shared" si="0" ref="P42:U42">SUM(P8:P35)</f>
        <v>0</v>
      </c>
      <c r="Q42" s="541">
        <f t="shared" si="0"/>
        <v>0</v>
      </c>
      <c r="R42" s="541">
        <f t="shared" si="0"/>
        <v>45794078</v>
      </c>
      <c r="S42" s="541">
        <f t="shared" si="0"/>
        <v>45794078</v>
      </c>
      <c r="T42" s="541">
        <f t="shared" si="0"/>
        <v>45794078</v>
      </c>
      <c r="U42" s="541">
        <f t="shared" si="0"/>
        <v>44674078</v>
      </c>
      <c r="V42" s="542">
        <f>SUM(V8:V40)</f>
        <v>44727778</v>
      </c>
      <c r="W42" s="542">
        <f>SUM(W8:W17)</f>
        <v>0</v>
      </c>
      <c r="X42" s="543">
        <f>V42/U42</f>
        <v>1.0012020393571412</v>
      </c>
    </row>
    <row r="43" spans="4:9" ht="12.75">
      <c r="D43" s="839" t="str">
        <f>IF(D42='4.sz.m.ÖNK kiadás'!E9," ","HIBA-nem egyenlő"=D18)</f>
        <v> </v>
      </c>
      <c r="G43" s="911"/>
      <c r="H43" s="911"/>
      <c r="I43" s="911"/>
    </row>
    <row r="44" spans="4:19" ht="12.75">
      <c r="D44" s="315"/>
      <c r="E44" s="315"/>
      <c r="F44" s="315"/>
      <c r="G44" s="315"/>
      <c r="H44" s="8"/>
      <c r="I44" s="315"/>
      <c r="J44" s="8"/>
      <c r="K44" s="8"/>
      <c r="L44" s="8"/>
      <c r="R44" s="8"/>
      <c r="S44" s="8"/>
    </row>
    <row r="45" spans="4:19" ht="12.75">
      <c r="D45" s="315"/>
      <c r="E45" s="8"/>
      <c r="F45" s="8"/>
      <c r="G45" s="8"/>
      <c r="H45" s="315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4:19" ht="12.75">
      <c r="D46" s="8"/>
      <c r="E46" s="8"/>
      <c r="F46" s="8"/>
      <c r="G46" s="8"/>
      <c r="H46" s="315"/>
      <c r="I46" s="315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4:19" ht="12.7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4:19" ht="12.7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4:19" ht="12.7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4:19" ht="12.7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4:19" ht="12.7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4:19" ht="12.7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4:19" ht="12.7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4:19" ht="12.7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4:19" ht="12.75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4:19" ht="12.75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4:19" ht="12.7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4:19" ht="12.75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4:19" ht="12.75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</sheetData>
  <sheetProtection/>
  <mergeCells count="44">
    <mergeCell ref="K1:W1"/>
    <mergeCell ref="A2:R2"/>
    <mergeCell ref="A3:R3"/>
    <mergeCell ref="A4:R4"/>
    <mergeCell ref="B6:C6"/>
    <mergeCell ref="R5:W5"/>
    <mergeCell ref="D6:J6"/>
    <mergeCell ref="K6:Q6"/>
    <mergeCell ref="R6:X6"/>
    <mergeCell ref="B13:C13"/>
    <mergeCell ref="B8:C8"/>
    <mergeCell ref="B9:C9"/>
    <mergeCell ref="B10:C10"/>
    <mergeCell ref="B11:C11"/>
    <mergeCell ref="B12:C12"/>
    <mergeCell ref="B26:C26"/>
    <mergeCell ref="B27:C27"/>
    <mergeCell ref="B14:C14"/>
    <mergeCell ref="B15:C15"/>
    <mergeCell ref="B16:C16"/>
    <mergeCell ref="B17:C17"/>
    <mergeCell ref="B18:C18"/>
    <mergeCell ref="B24:C24"/>
    <mergeCell ref="B23:C23"/>
    <mergeCell ref="B19:C19"/>
    <mergeCell ref="B22:C22"/>
    <mergeCell ref="B20:C20"/>
    <mergeCell ref="B21:C21"/>
    <mergeCell ref="B25:C25"/>
    <mergeCell ref="B29:C29"/>
    <mergeCell ref="B35:C35"/>
    <mergeCell ref="B33:C33"/>
    <mergeCell ref="B37:C37"/>
    <mergeCell ref="B36:C36"/>
    <mergeCell ref="B28:C28"/>
    <mergeCell ref="B38:C38"/>
    <mergeCell ref="B39:C39"/>
    <mergeCell ref="B41:C41"/>
    <mergeCell ref="B40:C40"/>
    <mergeCell ref="B42:C42"/>
    <mergeCell ref="B30:C30"/>
    <mergeCell ref="B34:C34"/>
    <mergeCell ref="B31:C31"/>
    <mergeCell ref="B32:C32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zoomScale="70" zoomScaleNormal="70" workbookViewId="0" topLeftCell="G4">
      <selection activeCell="AA14" sqref="AA14"/>
    </sheetView>
  </sheetViews>
  <sheetFormatPr defaultColWidth="9.140625" defaultRowHeight="12.75"/>
  <cols>
    <col min="1" max="1" width="50.28125" style="10" customWidth="1"/>
    <col min="2" max="2" width="13.28125" style="10" customWidth="1"/>
    <col min="3" max="3" width="22.57421875" style="19" customWidth="1"/>
    <col min="4" max="7" width="17.00390625" style="19" customWidth="1"/>
    <col min="8" max="8" width="18.00390625" style="19" hidden="1" customWidth="1"/>
    <col min="9" max="9" width="19.421875" style="19" hidden="1" customWidth="1"/>
    <col min="10" max="10" width="5.28125" style="19" hidden="1" customWidth="1"/>
    <col min="11" max="11" width="21.00390625" style="19" customWidth="1"/>
    <col min="12" max="14" width="17.00390625" style="19" customWidth="1"/>
    <col min="15" max="15" width="21.421875" style="19" customWidth="1"/>
    <col min="16" max="16" width="17.28125" style="19" hidden="1" customWidth="1"/>
    <col min="17" max="17" width="2.7109375" style="19" hidden="1" customWidth="1"/>
    <col min="18" max="18" width="22.57421875" style="19" customWidth="1"/>
    <col min="19" max="19" width="17.28125" style="10" customWidth="1"/>
    <col min="20" max="20" width="17.421875" style="10" customWidth="1"/>
    <col min="21" max="21" width="18.28125" style="10" customWidth="1"/>
    <col min="22" max="22" width="18.421875" style="10" customWidth="1"/>
    <col min="23" max="23" width="14.421875" style="10" hidden="1" customWidth="1"/>
    <col min="24" max="24" width="16.140625" style="10" hidden="1" customWidth="1"/>
    <col min="25" max="25" width="17.7109375" style="10" customWidth="1"/>
    <col min="26" max="26" width="9.140625" style="10" customWidth="1"/>
    <col min="27" max="27" width="13.28125" style="10" bestFit="1" customWidth="1"/>
    <col min="28" max="28" width="15.57421875" style="10" bestFit="1" customWidth="1"/>
    <col min="29" max="16384" width="9.140625" style="10" customWidth="1"/>
  </cols>
  <sheetData>
    <row r="1" spans="11:22" ht="24.75" customHeight="1">
      <c r="K1" s="1270" t="s">
        <v>604</v>
      </c>
      <c r="L1" s="1270"/>
      <c r="M1" s="1270"/>
      <c r="N1" s="1270"/>
      <c r="O1" s="1270"/>
      <c r="P1" s="1270"/>
      <c r="Q1" s="1270"/>
      <c r="R1" s="1270"/>
      <c r="S1" s="1270"/>
      <c r="T1" s="1270"/>
      <c r="U1" s="1270"/>
      <c r="V1" s="1270"/>
    </row>
    <row r="2" spans="1:18" ht="37.5" customHeight="1">
      <c r="A2" s="1271" t="s">
        <v>372</v>
      </c>
      <c r="B2" s="1271"/>
      <c r="C2" s="1272"/>
      <c r="D2" s="1272"/>
      <c r="E2" s="1272"/>
      <c r="F2" s="1272"/>
      <c r="G2" s="1272"/>
      <c r="H2" s="1272"/>
      <c r="I2" s="1272"/>
      <c r="J2" s="1272"/>
      <c r="K2" s="1272"/>
      <c r="L2" s="1272"/>
      <c r="M2" s="1272"/>
      <c r="N2" s="1272"/>
      <c r="O2" s="1272"/>
      <c r="P2" s="1272"/>
      <c r="Q2" s="1272"/>
      <c r="R2" s="1272"/>
    </row>
    <row r="3" spans="1:18" ht="18.75" customHeight="1">
      <c r="A3" s="1273" t="s">
        <v>641</v>
      </c>
      <c r="B3" s="1273"/>
      <c r="C3" s="1273"/>
      <c r="D3" s="1273"/>
      <c r="E3" s="1273"/>
      <c r="F3" s="1273"/>
      <c r="G3" s="1273"/>
      <c r="H3" s="1273"/>
      <c r="I3" s="1273"/>
      <c r="J3" s="1273"/>
      <c r="K3" s="1273"/>
      <c r="L3" s="1273"/>
      <c r="M3" s="1273"/>
      <c r="N3" s="1273"/>
      <c r="O3" s="1273"/>
      <c r="P3" s="1273"/>
      <c r="Q3" s="1273"/>
      <c r="R3" s="1273"/>
    </row>
    <row r="4" spans="1:18" ht="15.75">
      <c r="A4" s="1274" t="s">
        <v>373</v>
      </c>
      <c r="B4" s="1274"/>
      <c r="C4" s="1274"/>
      <c r="D4" s="1274"/>
      <c r="E4" s="1274"/>
      <c r="F4" s="1274"/>
      <c r="G4" s="1274"/>
      <c r="H4" s="1274"/>
      <c r="I4" s="1274"/>
      <c r="J4" s="1274"/>
      <c r="K4" s="1274"/>
      <c r="L4" s="1274"/>
      <c r="M4" s="1274"/>
      <c r="N4" s="1274"/>
      <c r="O4" s="1274"/>
      <c r="P4" s="1274"/>
      <c r="Q4" s="1274"/>
      <c r="R4" s="1274"/>
    </row>
    <row r="5" spans="1:18" ht="19.5" thickBot="1">
      <c r="A5" s="545"/>
      <c r="B5" s="545"/>
      <c r="R5" s="544" t="s">
        <v>446</v>
      </c>
    </row>
    <row r="6" spans="1:25" ht="19.5" customHeight="1">
      <c r="A6" s="1252" t="s">
        <v>494</v>
      </c>
      <c r="B6" s="1255" t="s">
        <v>375</v>
      </c>
      <c r="C6" s="1258" t="s">
        <v>4</v>
      </c>
      <c r="D6" s="1259"/>
      <c r="E6" s="1259"/>
      <c r="F6" s="1259"/>
      <c r="G6" s="1259"/>
      <c r="H6" s="1259"/>
      <c r="I6" s="1259"/>
      <c r="J6" s="1260"/>
      <c r="K6" s="1258" t="s">
        <v>376</v>
      </c>
      <c r="L6" s="1259"/>
      <c r="M6" s="1259"/>
      <c r="N6" s="1259"/>
      <c r="O6" s="1259"/>
      <c r="P6" s="1259"/>
      <c r="Q6" s="1260"/>
      <c r="R6" s="1258" t="s">
        <v>25</v>
      </c>
      <c r="S6" s="1259"/>
      <c r="T6" s="1259"/>
      <c r="U6" s="1259"/>
      <c r="V6" s="1259"/>
      <c r="W6" s="1259"/>
      <c r="X6" s="1267"/>
      <c r="Y6" s="546"/>
    </row>
    <row r="7" spans="1:25" ht="12.75" customHeight="1">
      <c r="A7" s="1253"/>
      <c r="B7" s="1256"/>
      <c r="C7" s="1261"/>
      <c r="D7" s="1262"/>
      <c r="E7" s="1262"/>
      <c r="F7" s="1262"/>
      <c r="G7" s="1262"/>
      <c r="H7" s="1262"/>
      <c r="I7" s="1262"/>
      <c r="J7" s="1263"/>
      <c r="K7" s="1261"/>
      <c r="L7" s="1262"/>
      <c r="M7" s="1262"/>
      <c r="N7" s="1262"/>
      <c r="O7" s="1262"/>
      <c r="P7" s="1262"/>
      <c r="Q7" s="1263"/>
      <c r="R7" s="1261"/>
      <c r="S7" s="1262"/>
      <c r="T7" s="1262"/>
      <c r="U7" s="1262"/>
      <c r="V7" s="1262"/>
      <c r="W7" s="1262"/>
      <c r="X7" s="1268"/>
      <c r="Y7" s="548"/>
    </row>
    <row r="8" spans="1:25" ht="20.25" customHeight="1" thickBot="1">
      <c r="A8" s="1254"/>
      <c r="B8" s="1257"/>
      <c r="C8" s="1264"/>
      <c r="D8" s="1265"/>
      <c r="E8" s="1265"/>
      <c r="F8" s="1265"/>
      <c r="G8" s="1265"/>
      <c r="H8" s="1265"/>
      <c r="I8" s="1265"/>
      <c r="J8" s="1266"/>
      <c r="K8" s="1264"/>
      <c r="L8" s="1265"/>
      <c r="M8" s="1265"/>
      <c r="N8" s="1265"/>
      <c r="O8" s="1265"/>
      <c r="P8" s="1265"/>
      <c r="Q8" s="1266"/>
      <c r="R8" s="1264"/>
      <c r="S8" s="1265"/>
      <c r="T8" s="1265"/>
      <c r="U8" s="1265"/>
      <c r="V8" s="1265"/>
      <c r="W8" s="1265"/>
      <c r="X8" s="1269"/>
      <c r="Y8" s="548"/>
    </row>
    <row r="9" spans="1:25" ht="113.25" thickTop="1">
      <c r="A9" s="549"/>
      <c r="B9" s="547"/>
      <c r="C9" s="550" t="s">
        <v>64</v>
      </c>
      <c r="D9" s="550" t="s">
        <v>226</v>
      </c>
      <c r="E9" s="550" t="s">
        <v>229</v>
      </c>
      <c r="F9" s="550" t="s">
        <v>231</v>
      </c>
      <c r="G9" s="550" t="s">
        <v>243</v>
      </c>
      <c r="H9" s="551" t="s">
        <v>234</v>
      </c>
      <c r="I9" s="551" t="s">
        <v>248</v>
      </c>
      <c r="J9" s="551" t="s">
        <v>235</v>
      </c>
      <c r="K9" s="550" t="s">
        <v>64</v>
      </c>
      <c r="L9" s="550" t="s">
        <v>226</v>
      </c>
      <c r="M9" s="550" t="s">
        <v>229</v>
      </c>
      <c r="N9" s="550" t="s">
        <v>231</v>
      </c>
      <c r="O9" s="551" t="s">
        <v>243</v>
      </c>
      <c r="P9" s="551" t="s">
        <v>248</v>
      </c>
      <c r="Q9" s="551" t="s">
        <v>235</v>
      </c>
      <c r="R9" s="550" t="s">
        <v>64</v>
      </c>
      <c r="S9" s="550" t="s">
        <v>226</v>
      </c>
      <c r="T9" s="550" t="s">
        <v>229</v>
      </c>
      <c r="U9" s="550" t="s">
        <v>231</v>
      </c>
      <c r="V9" s="551" t="s">
        <v>243</v>
      </c>
      <c r="W9" s="551" t="s">
        <v>248</v>
      </c>
      <c r="X9" s="552" t="s">
        <v>235</v>
      </c>
      <c r="Y9" s="548"/>
    </row>
    <row r="10" spans="1:25" ht="27" customHeight="1">
      <c r="A10" s="553" t="s">
        <v>495</v>
      </c>
      <c r="B10" s="554" t="s">
        <v>207</v>
      </c>
      <c r="C10" s="555">
        <v>100000</v>
      </c>
      <c r="D10" s="555">
        <v>100000</v>
      </c>
      <c r="E10" s="555">
        <v>100000</v>
      </c>
      <c r="F10" s="555">
        <v>100000</v>
      </c>
      <c r="G10" s="555"/>
      <c r="H10" s="555">
        <v>0</v>
      </c>
      <c r="I10" s="555"/>
      <c r="J10" s="557"/>
      <c r="K10" s="555"/>
      <c r="L10" s="555"/>
      <c r="M10" s="555"/>
      <c r="N10" s="555"/>
      <c r="O10" s="556"/>
      <c r="P10" s="555"/>
      <c r="Q10" s="557"/>
      <c r="R10" s="555">
        <v>100000</v>
      </c>
      <c r="S10" s="555">
        <v>100000</v>
      </c>
      <c r="T10" s="555">
        <f aca="true" t="shared" si="0" ref="T10:V14">E10-M10</f>
        <v>100000</v>
      </c>
      <c r="U10" s="555">
        <f t="shared" si="0"/>
        <v>100000</v>
      </c>
      <c r="V10" s="555">
        <f t="shared" si="0"/>
        <v>0</v>
      </c>
      <c r="W10" s="555"/>
      <c r="X10" s="557">
        <f aca="true" t="shared" si="1" ref="X10:X15">V10/U10</f>
        <v>0</v>
      </c>
      <c r="Y10" s="548"/>
    </row>
    <row r="11" spans="1:25" ht="27.75" customHeight="1">
      <c r="A11" s="553" t="s">
        <v>496</v>
      </c>
      <c r="B11" s="554" t="s">
        <v>207</v>
      </c>
      <c r="C11" s="555">
        <v>500000</v>
      </c>
      <c r="D11" s="555">
        <v>500000</v>
      </c>
      <c r="E11" s="555">
        <v>500000</v>
      </c>
      <c r="F11" s="555">
        <v>500000</v>
      </c>
      <c r="G11" s="555">
        <v>620000</v>
      </c>
      <c r="H11" s="555">
        <v>620000</v>
      </c>
      <c r="I11" s="555"/>
      <c r="J11" s="557"/>
      <c r="K11" s="555"/>
      <c r="L11" s="555"/>
      <c r="M11" s="555"/>
      <c r="N11" s="555"/>
      <c r="O11" s="555"/>
      <c r="P11" s="555"/>
      <c r="Q11" s="557"/>
      <c r="R11" s="555">
        <v>500000</v>
      </c>
      <c r="S11" s="555">
        <v>500000</v>
      </c>
      <c r="T11" s="555">
        <f t="shared" si="0"/>
        <v>500000</v>
      </c>
      <c r="U11" s="555">
        <f t="shared" si="0"/>
        <v>500000</v>
      </c>
      <c r="V11" s="555">
        <f t="shared" si="0"/>
        <v>620000</v>
      </c>
      <c r="W11" s="555"/>
      <c r="X11" s="557">
        <f t="shared" si="1"/>
        <v>1.24</v>
      </c>
      <c r="Y11" s="548"/>
    </row>
    <row r="12" spans="1:25" ht="27" customHeight="1" hidden="1">
      <c r="A12" s="553" t="s">
        <v>377</v>
      </c>
      <c r="B12" s="554" t="s">
        <v>206</v>
      </c>
      <c r="C12" s="555"/>
      <c r="D12" s="555"/>
      <c r="E12" s="555"/>
      <c r="F12" s="555"/>
      <c r="G12" s="555"/>
      <c r="H12" s="555"/>
      <c r="I12" s="555"/>
      <c r="J12" s="557"/>
      <c r="K12" s="555"/>
      <c r="L12" s="555"/>
      <c r="M12" s="555"/>
      <c r="N12" s="555"/>
      <c r="O12" s="555"/>
      <c r="P12" s="555"/>
      <c r="Q12" s="558"/>
      <c r="R12" s="555"/>
      <c r="S12" s="555"/>
      <c r="T12" s="555">
        <f t="shared" si="0"/>
        <v>0</v>
      </c>
      <c r="U12" s="555">
        <f t="shared" si="0"/>
        <v>0</v>
      </c>
      <c r="V12" s="555">
        <f t="shared" si="0"/>
        <v>0</v>
      </c>
      <c r="W12" s="555"/>
      <c r="X12" s="557" t="e">
        <f t="shared" si="1"/>
        <v>#DIV/0!</v>
      </c>
      <c r="Y12" s="548"/>
    </row>
    <row r="13" spans="1:27" ht="28.5" customHeight="1">
      <c r="A13" s="553" t="s">
        <v>497</v>
      </c>
      <c r="B13" s="554" t="s">
        <v>207</v>
      </c>
      <c r="C13" s="555">
        <f>150000+500000+500000</f>
        <v>1150000</v>
      </c>
      <c r="D13" s="555">
        <f>150000+500000+500000</f>
        <v>1150000</v>
      </c>
      <c r="E13" s="555">
        <f>150000+500000+500000</f>
        <v>1150000</v>
      </c>
      <c r="F13" s="555">
        <f>150000+500000+500000</f>
        <v>1150000</v>
      </c>
      <c r="G13" s="555">
        <v>1150000</v>
      </c>
      <c r="H13" s="555">
        <v>1133000</v>
      </c>
      <c r="I13" s="555"/>
      <c r="J13" s="557"/>
      <c r="K13" s="555"/>
      <c r="L13" s="555"/>
      <c r="M13" s="555"/>
      <c r="N13" s="555"/>
      <c r="O13" s="555"/>
      <c r="P13" s="555"/>
      <c r="Q13" s="558"/>
      <c r="R13" s="555">
        <f>150000+500000+500000</f>
        <v>1150000</v>
      </c>
      <c r="S13" s="555">
        <f>150000+500000+500000</f>
        <v>1150000</v>
      </c>
      <c r="T13" s="555">
        <f t="shared" si="0"/>
        <v>1150000</v>
      </c>
      <c r="U13" s="555">
        <f t="shared" si="0"/>
        <v>1150000</v>
      </c>
      <c r="V13" s="555">
        <f t="shared" si="0"/>
        <v>1150000</v>
      </c>
      <c r="W13" s="555"/>
      <c r="X13" s="557">
        <f t="shared" si="1"/>
        <v>1</v>
      </c>
      <c r="Y13" s="548"/>
      <c r="AA13" s="19"/>
    </row>
    <row r="14" spans="1:25" ht="32.25" customHeight="1">
      <c r="A14" s="553" t="s">
        <v>498</v>
      </c>
      <c r="B14" s="554" t="s">
        <v>207</v>
      </c>
      <c r="C14" s="555">
        <v>500000</v>
      </c>
      <c r="D14" s="555">
        <v>500000</v>
      </c>
      <c r="E14" s="555">
        <v>500000</v>
      </c>
      <c r="F14" s="555">
        <v>500000</v>
      </c>
      <c r="G14" s="555">
        <f>500000-20000</f>
        <v>480000</v>
      </c>
      <c r="H14" s="555">
        <v>459634</v>
      </c>
      <c r="I14" s="555"/>
      <c r="J14" s="557"/>
      <c r="K14" s="555"/>
      <c r="L14" s="555"/>
      <c r="M14" s="555"/>
      <c r="N14" s="555"/>
      <c r="O14" s="555"/>
      <c r="P14" s="555"/>
      <c r="Q14" s="558"/>
      <c r="R14" s="555">
        <v>500000</v>
      </c>
      <c r="S14" s="555">
        <v>500000</v>
      </c>
      <c r="T14" s="555">
        <f t="shared" si="0"/>
        <v>500000</v>
      </c>
      <c r="U14" s="555">
        <f t="shared" si="0"/>
        <v>500000</v>
      </c>
      <c r="V14" s="555">
        <f t="shared" si="0"/>
        <v>480000</v>
      </c>
      <c r="W14" s="555"/>
      <c r="X14" s="557">
        <f t="shared" si="1"/>
        <v>0.96</v>
      </c>
      <c r="Y14" s="548"/>
    </row>
    <row r="15" spans="1:25" ht="32.25" customHeight="1" thickBot="1">
      <c r="A15" s="553" t="s">
        <v>695</v>
      </c>
      <c r="B15" s="554"/>
      <c r="C15" s="555"/>
      <c r="D15" s="555"/>
      <c r="E15" s="555"/>
      <c r="F15" s="555">
        <v>1120000</v>
      </c>
      <c r="G15" s="555">
        <v>1120000</v>
      </c>
      <c r="H15" s="555">
        <v>1088000</v>
      </c>
      <c r="I15" s="555"/>
      <c r="J15" s="557"/>
      <c r="K15" s="555"/>
      <c r="L15" s="555"/>
      <c r="M15" s="555"/>
      <c r="N15" s="555">
        <v>1120000</v>
      </c>
      <c r="O15" s="555">
        <v>1120000</v>
      </c>
      <c r="P15" s="555"/>
      <c r="Q15" s="558"/>
      <c r="R15" s="555"/>
      <c r="S15" s="555"/>
      <c r="T15" s="555"/>
      <c r="U15" s="555">
        <f>F15-N15</f>
        <v>0</v>
      </c>
      <c r="V15" s="555">
        <f>G15-O15</f>
        <v>0</v>
      </c>
      <c r="W15" s="555"/>
      <c r="X15" s="557" t="e">
        <f t="shared" si="1"/>
        <v>#DIV/0!</v>
      </c>
      <c r="Y15" s="548"/>
    </row>
    <row r="16" spans="1:25" ht="33" customHeight="1" hidden="1">
      <c r="A16" s="553" t="s">
        <v>499</v>
      </c>
      <c r="B16" s="554" t="s">
        <v>207</v>
      </c>
      <c r="C16" s="560"/>
      <c r="D16" s="560"/>
      <c r="E16" s="560"/>
      <c r="F16" s="560"/>
      <c r="G16" s="560"/>
      <c r="H16" s="560"/>
      <c r="I16" s="560"/>
      <c r="J16" s="558"/>
      <c r="K16" s="560"/>
      <c r="L16" s="560"/>
      <c r="M16" s="560"/>
      <c r="N16" s="560"/>
      <c r="O16" s="560"/>
      <c r="P16" s="560"/>
      <c r="Q16" s="558"/>
      <c r="R16" s="555"/>
      <c r="S16" s="555"/>
      <c r="T16" s="555">
        <f>E16-M16</f>
        <v>0</v>
      </c>
      <c r="U16" s="555">
        <f>F16-N16</f>
        <v>0</v>
      </c>
      <c r="V16" s="555">
        <f>G16-O16</f>
        <v>0</v>
      </c>
      <c r="W16" s="560"/>
      <c r="X16" s="725"/>
      <c r="Y16" s="548"/>
    </row>
    <row r="17" spans="1:25" ht="33" customHeight="1" hidden="1" thickBot="1">
      <c r="A17" s="572" t="s">
        <v>437</v>
      </c>
      <c r="B17" s="742" t="s">
        <v>207</v>
      </c>
      <c r="C17" s="743"/>
      <c r="D17" s="743"/>
      <c r="E17" s="743"/>
      <c r="F17" s="743"/>
      <c r="G17" s="743"/>
      <c r="H17" s="743">
        <v>314000</v>
      </c>
      <c r="I17" s="743"/>
      <c r="J17" s="744"/>
      <c r="K17" s="743"/>
      <c r="L17" s="743"/>
      <c r="M17" s="743"/>
      <c r="N17" s="743"/>
      <c r="O17" s="743"/>
      <c r="P17" s="743"/>
      <c r="Q17" s="744"/>
      <c r="R17" s="560"/>
      <c r="S17" s="560"/>
      <c r="T17" s="555">
        <f>E17-M17</f>
        <v>0</v>
      </c>
      <c r="U17" s="560"/>
      <c r="V17" s="560"/>
      <c r="W17" s="743"/>
      <c r="X17" s="725"/>
      <c r="Y17" s="548"/>
    </row>
    <row r="18" spans="1:25" ht="33" customHeight="1" hidden="1" thickTop="1">
      <c r="A18" s="553" t="s">
        <v>448</v>
      </c>
      <c r="B18" s="554" t="s">
        <v>207</v>
      </c>
      <c r="C18" s="560"/>
      <c r="D18" s="560"/>
      <c r="E18" s="560"/>
      <c r="F18" s="560"/>
      <c r="G18" s="560"/>
      <c r="H18" s="560"/>
      <c r="I18" s="560"/>
      <c r="J18" s="558"/>
      <c r="K18" s="560"/>
      <c r="L18" s="560"/>
      <c r="M18" s="560"/>
      <c r="N18" s="560"/>
      <c r="O18" s="560"/>
      <c r="P18" s="560"/>
      <c r="Q18" s="558"/>
      <c r="R18" s="560"/>
      <c r="S18" s="560"/>
      <c r="T18" s="560"/>
      <c r="U18" s="560"/>
      <c r="V18" s="560"/>
      <c r="W18" s="560"/>
      <c r="X18" s="725"/>
      <c r="Y18" s="746"/>
    </row>
    <row r="19" spans="1:25" ht="33" customHeight="1" hidden="1">
      <c r="A19" s="811" t="s">
        <v>437</v>
      </c>
      <c r="B19" s="573" t="s">
        <v>207</v>
      </c>
      <c r="C19" s="812"/>
      <c r="D19" s="812"/>
      <c r="E19" s="812"/>
      <c r="F19" s="812"/>
      <c r="G19" s="812"/>
      <c r="H19" s="812"/>
      <c r="I19" s="812"/>
      <c r="J19" s="813"/>
      <c r="K19" s="812"/>
      <c r="L19" s="812"/>
      <c r="M19" s="812"/>
      <c r="N19" s="812"/>
      <c r="O19" s="812"/>
      <c r="P19" s="812"/>
      <c r="Q19" s="813"/>
      <c r="R19" s="812"/>
      <c r="S19" s="812"/>
      <c r="T19" s="812"/>
      <c r="U19" s="812"/>
      <c r="V19" s="812"/>
      <c r="W19" s="812"/>
      <c r="X19" s="725"/>
      <c r="Y19" s="746"/>
    </row>
    <row r="20" spans="1:25" ht="33" customHeight="1" hidden="1" thickBot="1">
      <c r="A20" s="572" t="s">
        <v>542</v>
      </c>
      <c r="B20" s="742" t="s">
        <v>207</v>
      </c>
      <c r="C20" s="743"/>
      <c r="D20" s="743"/>
      <c r="E20" s="743"/>
      <c r="F20" s="743"/>
      <c r="G20" s="743"/>
      <c r="H20" s="743"/>
      <c r="I20" s="743"/>
      <c r="J20" s="744"/>
      <c r="K20" s="743"/>
      <c r="L20" s="743"/>
      <c r="M20" s="743"/>
      <c r="N20" s="743"/>
      <c r="O20" s="743"/>
      <c r="P20" s="743"/>
      <c r="Q20" s="744"/>
      <c r="R20" s="743"/>
      <c r="S20" s="743"/>
      <c r="T20" s="743"/>
      <c r="U20" s="743"/>
      <c r="V20" s="743"/>
      <c r="W20" s="743"/>
      <c r="X20" s="725"/>
      <c r="Y20" s="746"/>
    </row>
    <row r="21" spans="1:25" ht="39" customHeight="1" thickBot="1" thickTop="1">
      <c r="A21" s="561" t="s">
        <v>20</v>
      </c>
      <c r="B21" s="562"/>
      <c r="C21" s="563">
        <f aca="true" t="shared" si="2" ref="C21:I21">SUM(C10:C18)</f>
        <v>2250000</v>
      </c>
      <c r="D21" s="563">
        <f t="shared" si="2"/>
        <v>2250000</v>
      </c>
      <c r="E21" s="563">
        <f t="shared" si="2"/>
        <v>2250000</v>
      </c>
      <c r="F21" s="563">
        <f t="shared" si="2"/>
        <v>3370000</v>
      </c>
      <c r="G21" s="563">
        <f t="shared" si="2"/>
        <v>3370000</v>
      </c>
      <c r="H21" s="563">
        <f t="shared" si="2"/>
        <v>3614634</v>
      </c>
      <c r="I21" s="563">
        <f t="shared" si="2"/>
        <v>0</v>
      </c>
      <c r="J21" s="563">
        <f aca="true" t="shared" si="3" ref="J21:O21">SUM(J10:J18)</f>
        <v>0</v>
      </c>
      <c r="K21" s="563">
        <f t="shared" si="3"/>
        <v>0</v>
      </c>
      <c r="L21" s="563">
        <f t="shared" si="3"/>
        <v>0</v>
      </c>
      <c r="M21" s="563">
        <f t="shared" si="3"/>
        <v>0</v>
      </c>
      <c r="N21" s="563">
        <f t="shared" si="3"/>
        <v>1120000</v>
      </c>
      <c r="O21" s="563">
        <f t="shared" si="3"/>
        <v>1120000</v>
      </c>
      <c r="P21" s="563">
        <f>SUM(P10:Q20)</f>
        <v>0</v>
      </c>
      <c r="Q21" s="563">
        <f>SUM(Q10:Q18)</f>
        <v>0</v>
      </c>
      <c r="R21" s="563">
        <f>SUM(R10:R18)</f>
        <v>2250000</v>
      </c>
      <c r="S21" s="563">
        <f>SUM(S10:S18)</f>
        <v>2250000</v>
      </c>
      <c r="T21" s="563">
        <f>SUM(T10:T18)</f>
        <v>2250000</v>
      </c>
      <c r="U21" s="563">
        <f>SUM(U10:U18)</f>
        <v>2250000</v>
      </c>
      <c r="V21" s="563">
        <f>SUM(V10:V18)</f>
        <v>2250000</v>
      </c>
      <c r="W21" s="563">
        <f>SUM(W10:W20)</f>
        <v>0</v>
      </c>
      <c r="X21" s="564">
        <f>V21/S21</f>
        <v>1</v>
      </c>
      <c r="Y21" s="746"/>
    </row>
    <row r="22" spans="1:25" ht="19.5" customHeight="1">
      <c r="A22" s="565"/>
      <c r="B22" s="565"/>
      <c r="C22" s="566"/>
      <c r="D22" s="566"/>
      <c r="E22" s="566"/>
      <c r="F22" s="566"/>
      <c r="G22" s="566"/>
      <c r="H22" s="566"/>
      <c r="I22" s="566"/>
      <c r="J22" s="566"/>
      <c r="K22" s="566"/>
      <c r="L22" s="566"/>
      <c r="M22" s="566"/>
      <c r="N22" s="566"/>
      <c r="O22" s="566"/>
      <c r="P22" s="566"/>
      <c r="Q22" s="566"/>
      <c r="R22" s="566"/>
      <c r="W22" s="19"/>
      <c r="Y22" s="567"/>
    </row>
    <row r="23" spans="1:18" ht="66" customHeight="1" hidden="1" thickBot="1">
      <c r="A23" s="1251" t="s">
        <v>378</v>
      </c>
      <c r="B23" s="1251"/>
      <c r="C23" s="1251"/>
      <c r="D23" s="1251"/>
      <c r="E23" s="1251"/>
      <c r="F23" s="1251"/>
      <c r="G23" s="1251"/>
      <c r="H23" s="1251"/>
      <c r="I23" s="1251"/>
      <c r="J23" s="1251"/>
      <c r="K23" s="1251"/>
      <c r="L23" s="1251"/>
      <c r="M23" s="1251"/>
      <c r="N23" s="1251"/>
      <c r="O23" s="1251"/>
      <c r="P23" s="1251"/>
      <c r="Q23" s="1251"/>
      <c r="R23" s="1251"/>
    </row>
    <row r="24" spans="1:25" ht="19.5" customHeight="1" hidden="1">
      <c r="A24" s="1252" t="s">
        <v>374</v>
      </c>
      <c r="B24" s="1255" t="s">
        <v>375</v>
      </c>
      <c r="C24" s="1258" t="s">
        <v>4</v>
      </c>
      <c r="D24" s="1259"/>
      <c r="E24" s="1259"/>
      <c r="F24" s="1259"/>
      <c r="G24" s="1259"/>
      <c r="H24" s="1259"/>
      <c r="I24" s="1259"/>
      <c r="J24" s="1260"/>
      <c r="K24" s="1258" t="s">
        <v>376</v>
      </c>
      <c r="L24" s="1259"/>
      <c r="M24" s="1259"/>
      <c r="N24" s="1259"/>
      <c r="O24" s="1259"/>
      <c r="P24" s="1259"/>
      <c r="Q24" s="1260"/>
      <c r="R24" s="1258" t="s">
        <v>25</v>
      </c>
      <c r="S24" s="1259"/>
      <c r="T24" s="1259"/>
      <c r="U24" s="1259"/>
      <c r="V24" s="1259"/>
      <c r="W24" s="1259"/>
      <c r="X24" s="1267"/>
      <c r="Y24" s="548"/>
    </row>
    <row r="25" spans="1:25" ht="19.5" customHeight="1" hidden="1">
      <c r="A25" s="1253"/>
      <c r="B25" s="1256"/>
      <c r="C25" s="1261"/>
      <c r="D25" s="1262"/>
      <c r="E25" s="1262"/>
      <c r="F25" s="1262"/>
      <c r="G25" s="1262"/>
      <c r="H25" s="1262"/>
      <c r="I25" s="1262"/>
      <c r="J25" s="1263"/>
      <c r="K25" s="1261"/>
      <c r="L25" s="1262"/>
      <c r="M25" s="1262"/>
      <c r="N25" s="1262"/>
      <c r="O25" s="1262"/>
      <c r="P25" s="1262"/>
      <c r="Q25" s="1263"/>
      <c r="R25" s="1261"/>
      <c r="S25" s="1262"/>
      <c r="T25" s="1262"/>
      <c r="U25" s="1262"/>
      <c r="V25" s="1262"/>
      <c r="W25" s="1262"/>
      <c r="X25" s="1268"/>
      <c r="Y25" s="548"/>
    </row>
    <row r="26" spans="1:25" ht="19.5" customHeight="1" hidden="1" thickBot="1">
      <c r="A26" s="1254"/>
      <c r="B26" s="1257"/>
      <c r="C26" s="1264"/>
      <c r="D26" s="1265"/>
      <c r="E26" s="1265"/>
      <c r="F26" s="1265"/>
      <c r="G26" s="1265"/>
      <c r="H26" s="1265"/>
      <c r="I26" s="1265"/>
      <c r="J26" s="1266"/>
      <c r="K26" s="1264"/>
      <c r="L26" s="1265"/>
      <c r="M26" s="1265"/>
      <c r="N26" s="1265"/>
      <c r="O26" s="1265"/>
      <c r="P26" s="1265"/>
      <c r="Q26" s="1266"/>
      <c r="R26" s="1264"/>
      <c r="S26" s="1265"/>
      <c r="T26" s="1265"/>
      <c r="U26" s="1265"/>
      <c r="V26" s="1265"/>
      <c r="W26" s="1265"/>
      <c r="X26" s="1269"/>
      <c r="Y26" s="548"/>
    </row>
    <row r="27" spans="1:25" ht="57.75" customHeight="1" hidden="1" thickTop="1">
      <c r="A27" s="568"/>
      <c r="B27" s="569"/>
      <c r="C27" s="551" t="s">
        <v>64</v>
      </c>
      <c r="D27" s="551" t="s">
        <v>226</v>
      </c>
      <c r="E27" s="551" t="s">
        <v>229</v>
      </c>
      <c r="F27" s="550" t="s">
        <v>231</v>
      </c>
      <c r="G27" s="550"/>
      <c r="H27" s="551" t="s">
        <v>243</v>
      </c>
      <c r="I27" s="551" t="s">
        <v>248</v>
      </c>
      <c r="J27" s="551" t="s">
        <v>235</v>
      </c>
      <c r="K27" s="551" t="s">
        <v>64</v>
      </c>
      <c r="L27" s="551" t="s">
        <v>226</v>
      </c>
      <c r="M27" s="551" t="s">
        <v>229</v>
      </c>
      <c r="N27" s="550" t="s">
        <v>231</v>
      </c>
      <c r="O27" s="551" t="s">
        <v>243</v>
      </c>
      <c r="P27" s="551" t="s">
        <v>248</v>
      </c>
      <c r="Q27" s="551" t="s">
        <v>235</v>
      </c>
      <c r="R27" s="551" t="s">
        <v>64</v>
      </c>
      <c r="S27" s="551" t="s">
        <v>226</v>
      </c>
      <c r="T27" s="551" t="s">
        <v>229</v>
      </c>
      <c r="U27" s="551" t="s">
        <v>231</v>
      </c>
      <c r="V27" s="551" t="s">
        <v>243</v>
      </c>
      <c r="W27" s="551" t="s">
        <v>248</v>
      </c>
      <c r="X27" s="552" t="s">
        <v>235</v>
      </c>
      <c r="Y27" s="548"/>
    </row>
    <row r="28" spans="1:25" ht="34.5" customHeight="1" hidden="1">
      <c r="A28" s="570" t="s">
        <v>519</v>
      </c>
      <c r="B28" s="571" t="s">
        <v>207</v>
      </c>
      <c r="C28" s="555"/>
      <c r="D28" s="555"/>
      <c r="E28" s="555"/>
      <c r="F28" s="555"/>
      <c r="G28" s="555"/>
      <c r="H28" s="555">
        <v>211000</v>
      </c>
      <c r="I28" s="555">
        <v>392000</v>
      </c>
      <c r="J28" s="557"/>
      <c r="K28" s="555"/>
      <c r="L28" s="555"/>
      <c r="M28" s="555"/>
      <c r="N28" s="555"/>
      <c r="O28" s="555">
        <v>211000</v>
      </c>
      <c r="P28" s="555">
        <v>392000</v>
      </c>
      <c r="Q28" s="557"/>
      <c r="R28" s="555"/>
      <c r="S28" s="555"/>
      <c r="T28" s="555"/>
      <c r="U28" s="555"/>
      <c r="V28" s="556"/>
      <c r="W28" s="556"/>
      <c r="X28" s="557" t="e">
        <f>V28/S28</f>
        <v>#DIV/0!</v>
      </c>
      <c r="Y28" s="548"/>
    </row>
    <row r="29" spans="1:25" ht="15" hidden="1">
      <c r="A29" s="553" t="s">
        <v>379</v>
      </c>
      <c r="B29" s="554" t="s">
        <v>207</v>
      </c>
      <c r="C29" s="555"/>
      <c r="D29" s="555"/>
      <c r="E29" s="555"/>
      <c r="F29" s="555"/>
      <c r="G29" s="555"/>
      <c r="H29" s="555"/>
      <c r="I29" s="555"/>
      <c r="J29" s="557"/>
      <c r="K29" s="555"/>
      <c r="L29" s="555"/>
      <c r="M29" s="555"/>
      <c r="N29" s="555"/>
      <c r="O29" s="555"/>
      <c r="P29" s="556"/>
      <c r="Q29" s="557"/>
      <c r="R29" s="556"/>
      <c r="S29" s="556"/>
      <c r="T29" s="556"/>
      <c r="U29" s="555"/>
      <c r="V29" s="555"/>
      <c r="W29" s="555"/>
      <c r="X29" s="557" t="e">
        <f>V29/S29</f>
        <v>#DIV/0!</v>
      </c>
      <c r="Y29" s="548"/>
    </row>
    <row r="30" spans="1:25" ht="30.75" customHeight="1" hidden="1">
      <c r="A30" s="553" t="s">
        <v>380</v>
      </c>
      <c r="B30" s="554" t="s">
        <v>207</v>
      </c>
      <c r="C30" s="555"/>
      <c r="D30" s="555"/>
      <c r="E30" s="555"/>
      <c r="F30" s="555"/>
      <c r="G30" s="555"/>
      <c r="H30" s="555"/>
      <c r="I30" s="555"/>
      <c r="J30" s="557"/>
      <c r="K30" s="555"/>
      <c r="L30" s="555"/>
      <c r="M30" s="555"/>
      <c r="N30" s="555"/>
      <c r="O30" s="555"/>
      <c r="P30" s="556"/>
      <c r="Q30" s="557"/>
      <c r="R30" s="556"/>
      <c r="S30" s="556"/>
      <c r="T30" s="556"/>
      <c r="U30" s="555"/>
      <c r="V30" s="555"/>
      <c r="W30" s="555"/>
      <c r="X30" s="557" t="e">
        <f>V30/S30</f>
        <v>#DIV/0!</v>
      </c>
      <c r="Y30" s="548"/>
    </row>
    <row r="31" spans="1:25" ht="31.5" customHeight="1" hidden="1">
      <c r="A31" s="553" t="s">
        <v>381</v>
      </c>
      <c r="B31" s="554" t="s">
        <v>207</v>
      </c>
      <c r="C31" s="555"/>
      <c r="D31" s="555"/>
      <c r="E31" s="555"/>
      <c r="F31" s="555"/>
      <c r="G31" s="555"/>
      <c r="H31" s="555"/>
      <c r="I31" s="555"/>
      <c r="J31" s="557"/>
      <c r="K31" s="555"/>
      <c r="L31" s="555"/>
      <c r="M31" s="555"/>
      <c r="N31" s="555"/>
      <c r="O31" s="555"/>
      <c r="P31" s="555"/>
      <c r="Q31" s="557"/>
      <c r="R31" s="556"/>
      <c r="S31" s="556"/>
      <c r="T31" s="556"/>
      <c r="U31" s="555"/>
      <c r="V31" s="555"/>
      <c r="W31" s="555"/>
      <c r="X31" s="557" t="e">
        <f>V31/S31</f>
        <v>#DIV/0!</v>
      </c>
      <c r="Y31" s="548"/>
    </row>
    <row r="32" spans="1:25" ht="31.5" customHeight="1" hidden="1">
      <c r="A32" s="553" t="s">
        <v>382</v>
      </c>
      <c r="B32" s="554" t="s">
        <v>207</v>
      </c>
      <c r="C32" s="560"/>
      <c r="D32" s="560"/>
      <c r="E32" s="560"/>
      <c r="F32" s="560"/>
      <c r="G32" s="560"/>
      <c r="H32" s="560"/>
      <c r="I32" s="560"/>
      <c r="J32" s="559" t="e">
        <f>H32/E32</f>
        <v>#DIV/0!</v>
      </c>
      <c r="K32" s="560"/>
      <c r="L32" s="560"/>
      <c r="M32" s="560"/>
      <c r="N32" s="560"/>
      <c r="O32" s="560"/>
      <c r="P32" s="736"/>
      <c r="Q32" s="559" t="e">
        <f>O32/M32</f>
        <v>#DIV/0!</v>
      </c>
      <c r="R32" s="560"/>
      <c r="S32" s="560"/>
      <c r="T32" s="560"/>
      <c r="U32" s="560"/>
      <c r="V32" s="560">
        <f>H32-O32</f>
        <v>0</v>
      </c>
      <c r="W32" s="736"/>
      <c r="X32" s="559" t="e">
        <f>V32/T32</f>
        <v>#DIV/0!</v>
      </c>
      <c r="Y32" s="548"/>
    </row>
    <row r="33" spans="1:25" ht="27.75" customHeight="1" hidden="1">
      <c r="A33" s="553" t="s">
        <v>383</v>
      </c>
      <c r="B33" s="554" t="s">
        <v>207</v>
      </c>
      <c r="C33" s="560"/>
      <c r="D33" s="560"/>
      <c r="E33" s="560"/>
      <c r="F33" s="560"/>
      <c r="G33" s="560"/>
      <c r="H33" s="560"/>
      <c r="I33" s="560"/>
      <c r="J33" s="559">
        <v>0</v>
      </c>
      <c r="K33" s="560"/>
      <c r="L33" s="560"/>
      <c r="M33" s="560"/>
      <c r="N33" s="560"/>
      <c r="O33" s="560"/>
      <c r="P33" s="736"/>
      <c r="Q33" s="559">
        <v>0</v>
      </c>
      <c r="R33" s="560"/>
      <c r="S33" s="560"/>
      <c r="T33" s="560"/>
      <c r="U33" s="560"/>
      <c r="V33" s="560">
        <f>H33-O33</f>
        <v>0</v>
      </c>
      <c r="W33" s="736"/>
      <c r="X33" s="559">
        <v>0</v>
      </c>
      <c r="Y33" s="548"/>
    </row>
    <row r="34" spans="1:25" ht="33" customHeight="1" hidden="1" thickBot="1">
      <c r="A34" s="572" t="s">
        <v>384</v>
      </c>
      <c r="B34" s="573" t="s">
        <v>207</v>
      </c>
      <c r="C34" s="574"/>
      <c r="D34" s="574"/>
      <c r="E34" s="574"/>
      <c r="F34" s="574"/>
      <c r="G34" s="574"/>
      <c r="H34" s="574"/>
      <c r="I34" s="574"/>
      <c r="J34" s="559">
        <v>0</v>
      </c>
      <c r="K34" s="574"/>
      <c r="L34" s="574"/>
      <c r="M34" s="574"/>
      <c r="N34" s="574"/>
      <c r="O34" s="574"/>
      <c r="P34" s="737"/>
      <c r="Q34" s="559">
        <v>0</v>
      </c>
      <c r="R34" s="574"/>
      <c r="S34" s="574"/>
      <c r="T34" s="574"/>
      <c r="U34" s="574"/>
      <c r="V34" s="574">
        <f>H34-O34</f>
        <v>0</v>
      </c>
      <c r="W34" s="737"/>
      <c r="X34" s="559">
        <v>0</v>
      </c>
      <c r="Y34" s="548"/>
    </row>
    <row r="35" spans="1:25" ht="33" customHeight="1" hidden="1" thickBot="1" thickTop="1">
      <c r="A35" s="575"/>
      <c r="B35" s="576"/>
      <c r="C35" s="577"/>
      <c r="D35" s="577"/>
      <c r="E35" s="577"/>
      <c r="F35" s="577"/>
      <c r="G35" s="577"/>
      <c r="H35" s="577"/>
      <c r="I35" s="577"/>
      <c r="J35" s="559">
        <v>0</v>
      </c>
      <c r="K35" s="577"/>
      <c r="L35" s="577"/>
      <c r="M35" s="577"/>
      <c r="N35" s="577"/>
      <c r="O35" s="577"/>
      <c r="P35" s="738"/>
      <c r="Q35" s="559">
        <v>0</v>
      </c>
      <c r="R35" s="577"/>
      <c r="S35" s="577"/>
      <c r="T35" s="577"/>
      <c r="U35" s="577"/>
      <c r="V35" s="577">
        <f>H35-O35</f>
        <v>0</v>
      </c>
      <c r="W35" s="738"/>
      <c r="X35" s="559">
        <v>0</v>
      </c>
      <c r="Y35" s="548"/>
    </row>
    <row r="36" spans="1:25" ht="33" customHeight="1" hidden="1" thickBot="1" thickTop="1">
      <c r="A36" s="561" t="s">
        <v>20</v>
      </c>
      <c r="B36" s="562"/>
      <c r="C36" s="563">
        <f aca="true" t="shared" si="4" ref="C36:I36">SUM(C28:C34)</f>
        <v>0</v>
      </c>
      <c r="D36" s="563">
        <f t="shared" si="4"/>
        <v>0</v>
      </c>
      <c r="E36" s="563">
        <f t="shared" si="4"/>
        <v>0</v>
      </c>
      <c r="F36" s="563">
        <f t="shared" si="4"/>
        <v>0</v>
      </c>
      <c r="G36" s="563"/>
      <c r="H36" s="563">
        <f t="shared" si="4"/>
        <v>211000</v>
      </c>
      <c r="I36" s="563">
        <f t="shared" si="4"/>
        <v>392000</v>
      </c>
      <c r="J36" s="564" t="e">
        <f>H36/D36</f>
        <v>#DIV/0!</v>
      </c>
      <c r="K36" s="563">
        <f aca="true" t="shared" si="5" ref="K36:P36">SUM(K28:K34)</f>
        <v>0</v>
      </c>
      <c r="L36" s="563">
        <f t="shared" si="5"/>
        <v>0</v>
      </c>
      <c r="M36" s="563">
        <f t="shared" si="5"/>
        <v>0</v>
      </c>
      <c r="N36" s="563">
        <f t="shared" si="5"/>
        <v>0</v>
      </c>
      <c r="O36" s="563">
        <f t="shared" si="5"/>
        <v>211000</v>
      </c>
      <c r="P36" s="563">
        <f t="shared" si="5"/>
        <v>392000</v>
      </c>
      <c r="Q36" s="564" t="e">
        <f>O36/L36</f>
        <v>#DIV/0!</v>
      </c>
      <c r="R36" s="563">
        <f aca="true" t="shared" si="6" ref="R36:W36">SUM(R28:R34)</f>
        <v>0</v>
      </c>
      <c r="S36" s="563">
        <f t="shared" si="6"/>
        <v>0</v>
      </c>
      <c r="T36" s="563">
        <f t="shared" si="6"/>
        <v>0</v>
      </c>
      <c r="U36" s="563">
        <f t="shared" si="6"/>
        <v>0</v>
      </c>
      <c r="V36" s="563">
        <f t="shared" si="6"/>
        <v>0</v>
      </c>
      <c r="W36" s="563">
        <f t="shared" si="6"/>
        <v>0</v>
      </c>
      <c r="X36" s="564" t="e">
        <f>V36/S36</f>
        <v>#DIV/0!</v>
      </c>
      <c r="Y36" s="548"/>
    </row>
    <row r="39" ht="12.75">
      <c r="L39" s="578"/>
    </row>
    <row r="40" ht="12.75">
      <c r="L40" s="578"/>
    </row>
    <row r="41" ht="12.75">
      <c r="L41" s="578"/>
    </row>
    <row r="42" ht="12.75">
      <c r="L42" s="578"/>
    </row>
  </sheetData>
  <sheetProtection/>
  <mergeCells count="15">
    <mergeCell ref="K1:V1"/>
    <mergeCell ref="A2:R2"/>
    <mergeCell ref="A3:R3"/>
    <mergeCell ref="A4:R4"/>
    <mergeCell ref="A6:A8"/>
    <mergeCell ref="B6:B8"/>
    <mergeCell ref="C6:J8"/>
    <mergeCell ref="K6:Q8"/>
    <mergeCell ref="R6:X8"/>
    <mergeCell ref="A23:R23"/>
    <mergeCell ref="A24:A26"/>
    <mergeCell ref="B24:B26"/>
    <mergeCell ref="C24:J26"/>
    <mergeCell ref="K24:Q26"/>
    <mergeCell ref="R24:X2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  <headerFooter alignWithMargins="0">
    <oddFooter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9"/>
  <sheetViews>
    <sheetView zoomScale="70" zoomScaleNormal="70" workbookViewId="0" topLeftCell="A7">
      <selection activeCell="M42" sqref="M42"/>
    </sheetView>
  </sheetViews>
  <sheetFormatPr defaultColWidth="9.140625" defaultRowHeight="12.75"/>
  <cols>
    <col min="1" max="1" width="53.00390625" style="260" customWidth="1"/>
    <col min="2" max="2" width="17.140625" style="8" bestFit="1" customWidth="1"/>
    <col min="3" max="3" width="17.140625" style="8" customWidth="1"/>
    <col min="4" max="5" width="16.421875" style="8" customWidth="1"/>
    <col min="6" max="6" width="15.7109375" style="8" customWidth="1"/>
    <col min="7" max="8" width="16.00390625" style="8" hidden="1" customWidth="1"/>
    <col min="9" max="9" width="17.140625" style="8" customWidth="1"/>
    <col min="10" max="10" width="15.57421875" style="8" customWidth="1"/>
    <col min="11" max="11" width="15.7109375" style="8" customWidth="1"/>
    <col min="12" max="12" width="15.00390625" style="8" customWidth="1"/>
    <col min="13" max="13" width="17.421875" style="8" customWidth="1"/>
    <col min="14" max="14" width="17.28125" style="8" hidden="1" customWidth="1"/>
    <col min="15" max="15" width="14.57421875" style="8" hidden="1" customWidth="1"/>
    <col min="16" max="16" width="13.421875" style="8" hidden="1" customWidth="1"/>
    <col min="17" max="17" width="16.7109375" style="8" customWidth="1"/>
    <col min="18" max="18" width="8.421875" style="8" customWidth="1"/>
    <col min="19" max="19" width="10.140625" style="8" customWidth="1"/>
    <col min="20" max="20" width="11.7109375" style="8" customWidth="1"/>
    <col min="21" max="21" width="11.57421875" style="8" customWidth="1"/>
    <col min="22" max="22" width="17.57421875" style="8" customWidth="1"/>
    <col min="23" max="23" width="13.8515625" style="8" customWidth="1"/>
    <col min="24" max="24" width="14.8515625" style="8" customWidth="1"/>
    <col min="25" max="25" width="14.421875" style="8" customWidth="1"/>
    <col min="26" max="26" width="14.7109375" style="8" customWidth="1"/>
    <col min="27" max="27" width="14.421875" style="8" hidden="1" customWidth="1"/>
    <col min="28" max="28" width="15.421875" style="8" hidden="1" customWidth="1"/>
    <col min="29" max="29" width="15.28125" style="8" customWidth="1"/>
    <col min="30" max="16384" width="9.140625" style="8" customWidth="1"/>
  </cols>
  <sheetData>
    <row r="1" spans="17:26" ht="12.75" customHeight="1">
      <c r="Q1" s="1275" t="s">
        <v>603</v>
      </c>
      <c r="R1" s="1275"/>
      <c r="S1" s="1275"/>
      <c r="T1" s="1275"/>
      <c r="U1" s="1275"/>
      <c r="V1" s="1275"/>
      <c r="W1" s="1275"/>
      <c r="X1" s="1275"/>
      <c r="Y1" s="1275"/>
      <c r="Z1" s="1275"/>
    </row>
    <row r="2" spans="1:22" ht="19.5">
      <c r="A2" s="1303" t="s">
        <v>481</v>
      </c>
      <c r="B2" s="1303"/>
      <c r="C2" s="1303"/>
      <c r="D2" s="1303"/>
      <c r="E2" s="1303"/>
      <c r="F2" s="1303"/>
      <c r="G2" s="1303"/>
      <c r="H2" s="1303"/>
      <c r="I2" s="1303"/>
      <c r="J2" s="1303"/>
      <c r="K2" s="1303"/>
      <c r="L2" s="1303"/>
      <c r="M2" s="1303"/>
      <c r="N2" s="1303"/>
      <c r="O2" s="1303"/>
      <c r="P2" s="1303"/>
      <c r="Q2" s="1303"/>
      <c r="R2" s="1303"/>
      <c r="S2" s="1303"/>
      <c r="T2" s="1303"/>
      <c r="U2" s="1303"/>
      <c r="V2" s="1303"/>
    </row>
    <row r="3" spans="1:22" ht="15.75">
      <c r="A3" s="1229" t="s">
        <v>641</v>
      </c>
      <c r="B3" s="1229"/>
      <c r="C3" s="1229"/>
      <c r="D3" s="1229"/>
      <c r="E3" s="1229"/>
      <c r="F3" s="1229"/>
      <c r="G3" s="1229"/>
      <c r="H3" s="1229"/>
      <c r="I3" s="1229"/>
      <c r="J3" s="1229"/>
      <c r="K3" s="1229"/>
      <c r="L3" s="1229"/>
      <c r="M3" s="1229"/>
      <c r="N3" s="1229"/>
      <c r="O3" s="1229"/>
      <c r="P3" s="1229"/>
      <c r="Q3" s="1229"/>
      <c r="R3" s="1229"/>
      <c r="S3" s="1229"/>
      <c r="T3" s="1229"/>
      <c r="U3" s="1229"/>
      <c r="V3" s="1229"/>
    </row>
    <row r="4" spans="1:22" ht="14.25">
      <c r="A4" s="1304" t="s">
        <v>193</v>
      </c>
      <c r="B4" s="1304"/>
      <c r="C4" s="1304"/>
      <c r="D4" s="1304"/>
      <c r="E4" s="1304"/>
      <c r="F4" s="1304"/>
      <c r="G4" s="1304"/>
      <c r="H4" s="1304"/>
      <c r="I4" s="1304"/>
      <c r="J4" s="1304"/>
      <c r="K4" s="1304"/>
      <c r="L4" s="1304"/>
      <c r="M4" s="1304"/>
      <c r="N4" s="1304"/>
      <c r="O4" s="1304"/>
      <c r="P4" s="1304"/>
      <c r="Q4" s="1304"/>
      <c r="R4" s="1304"/>
      <c r="S4" s="1304"/>
      <c r="T4" s="1304"/>
      <c r="U4" s="1304"/>
      <c r="V4" s="1304"/>
    </row>
    <row r="5" spans="1:22" ht="14.25">
      <c r="A5" s="793"/>
      <c r="B5" s="793"/>
      <c r="C5" s="793"/>
      <c r="D5" s="793"/>
      <c r="E5" s="793"/>
      <c r="F5" s="793"/>
      <c r="G5" s="793"/>
      <c r="H5" s="793"/>
      <c r="I5" s="793"/>
      <c r="J5" s="793"/>
      <c r="K5" s="793"/>
      <c r="L5" s="793"/>
      <c r="M5" s="793"/>
      <c r="N5" s="793"/>
      <c r="O5" s="815">
        <f>SUM(O11,O19)</f>
        <v>0</v>
      </c>
      <c r="P5" s="793"/>
      <c r="Q5" s="793"/>
      <c r="R5" s="793"/>
      <c r="S5" s="793"/>
      <c r="T5" s="793"/>
      <c r="U5" s="793"/>
      <c r="V5" s="793"/>
    </row>
    <row r="6" spans="1:22" ht="18.75" thickBot="1">
      <c r="A6" s="795" t="s">
        <v>482</v>
      </c>
      <c r="V6" s="9" t="s">
        <v>446</v>
      </c>
    </row>
    <row r="7" spans="1:29" ht="24.75" customHeight="1">
      <c r="A7" s="1293" t="s">
        <v>21</v>
      </c>
      <c r="B7" s="1295" t="s">
        <v>22</v>
      </c>
      <c r="C7" s="1296"/>
      <c r="D7" s="1296"/>
      <c r="E7" s="1296"/>
      <c r="F7" s="1296"/>
      <c r="G7" s="1296"/>
      <c r="H7" s="1296"/>
      <c r="I7" s="1296"/>
      <c r="J7" s="1296"/>
      <c r="K7" s="1296"/>
      <c r="L7" s="1296"/>
      <c r="M7" s="1296"/>
      <c r="N7" s="1296"/>
      <c r="O7" s="1296"/>
      <c r="P7" s="1296"/>
      <c r="Q7" s="1297" t="s">
        <v>23</v>
      </c>
      <c r="R7" s="1298"/>
      <c r="S7" s="1298"/>
      <c r="T7" s="1298"/>
      <c r="U7" s="1298"/>
      <c r="V7" s="1298"/>
      <c r="W7" s="1298"/>
      <c r="X7" s="1298"/>
      <c r="Y7" s="1298"/>
      <c r="Z7" s="1298"/>
      <c r="AA7" s="1295"/>
      <c r="AB7" s="1299"/>
      <c r="AC7" s="450"/>
    </row>
    <row r="8" spans="1:29" ht="24.75" customHeight="1">
      <c r="A8" s="1294"/>
      <c r="B8" s="1291" t="s">
        <v>62</v>
      </c>
      <c r="C8" s="1300"/>
      <c r="D8" s="1300"/>
      <c r="E8" s="1300"/>
      <c r="F8" s="1300"/>
      <c r="G8" s="1300"/>
      <c r="H8" s="1301"/>
      <c r="I8" s="1291" t="s">
        <v>63</v>
      </c>
      <c r="J8" s="1300"/>
      <c r="K8" s="1300"/>
      <c r="L8" s="1300"/>
      <c r="M8" s="1300"/>
      <c r="N8" s="1300"/>
      <c r="O8" s="1300"/>
      <c r="P8" s="1300"/>
      <c r="Q8" s="1302" t="s">
        <v>62</v>
      </c>
      <c r="R8" s="1290"/>
      <c r="S8" s="1290"/>
      <c r="T8" s="1290"/>
      <c r="U8" s="1290"/>
      <c r="V8" s="1290" t="s">
        <v>63</v>
      </c>
      <c r="W8" s="1290"/>
      <c r="X8" s="1290"/>
      <c r="Y8" s="1290"/>
      <c r="Z8" s="1290"/>
      <c r="AA8" s="1291"/>
      <c r="AB8" s="1292"/>
      <c r="AC8" s="450"/>
    </row>
    <row r="9" spans="1:29" ht="42" customHeight="1">
      <c r="A9" s="254"/>
      <c r="B9" s="255" t="s">
        <v>227</v>
      </c>
      <c r="C9" s="255" t="s">
        <v>225</v>
      </c>
      <c r="D9" s="451" t="s">
        <v>230</v>
      </c>
      <c r="E9" s="255" t="s">
        <v>232</v>
      </c>
      <c r="F9" s="255" t="s">
        <v>436</v>
      </c>
      <c r="G9" s="255" t="s">
        <v>440</v>
      </c>
      <c r="H9" s="255" t="s">
        <v>235</v>
      </c>
      <c r="I9" s="255" t="s">
        <v>227</v>
      </c>
      <c r="J9" s="711" t="s">
        <v>225</v>
      </c>
      <c r="K9" s="716" t="s">
        <v>230</v>
      </c>
      <c r="L9" s="717" t="s">
        <v>232</v>
      </c>
      <c r="M9" s="255" t="s">
        <v>436</v>
      </c>
      <c r="N9" s="255" t="s">
        <v>440</v>
      </c>
      <c r="O9" s="740" t="s">
        <v>393</v>
      </c>
      <c r="P9" s="717" t="s">
        <v>235</v>
      </c>
      <c r="Q9" s="712" t="s">
        <v>227</v>
      </c>
      <c r="R9" s="255" t="s">
        <v>225</v>
      </c>
      <c r="S9" s="451" t="s">
        <v>230</v>
      </c>
      <c r="T9" s="255" t="s">
        <v>232</v>
      </c>
      <c r="U9" s="255" t="s">
        <v>436</v>
      </c>
      <c r="V9" s="255" t="s">
        <v>227</v>
      </c>
      <c r="W9" s="255" t="s">
        <v>225</v>
      </c>
      <c r="X9" s="451" t="s">
        <v>230</v>
      </c>
      <c r="Y9" s="255" t="s">
        <v>232</v>
      </c>
      <c r="Z9" s="255" t="s">
        <v>436</v>
      </c>
      <c r="AA9" s="255" t="s">
        <v>440</v>
      </c>
      <c r="AB9" s="255" t="s">
        <v>235</v>
      </c>
      <c r="AC9" s="450"/>
    </row>
    <row r="10" spans="1:29" ht="18">
      <c r="A10" s="22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317"/>
      <c r="P10" s="647"/>
      <c r="Q10" s="318"/>
      <c r="R10" s="25"/>
      <c r="S10" s="25"/>
      <c r="T10" s="25"/>
      <c r="U10" s="25"/>
      <c r="V10" s="24"/>
      <c r="W10" s="24"/>
      <c r="X10" s="24"/>
      <c r="Y10" s="24"/>
      <c r="Z10" s="24"/>
      <c r="AA10" s="317"/>
      <c r="AB10" s="26"/>
      <c r="AC10" s="450"/>
    </row>
    <row r="11" spans="1:29" ht="18">
      <c r="A11" s="22" t="s">
        <v>566</v>
      </c>
      <c r="B11" s="24"/>
      <c r="C11" s="24"/>
      <c r="D11" s="24"/>
      <c r="E11" s="24"/>
      <c r="F11" s="24"/>
      <c r="G11" s="24"/>
      <c r="H11" s="24"/>
      <c r="I11" s="24">
        <v>6500000</v>
      </c>
      <c r="J11" s="24">
        <v>6500000</v>
      </c>
      <c r="K11" s="24">
        <v>6500000</v>
      </c>
      <c r="L11" s="24">
        <f>6500000+2000000</f>
        <v>8500000</v>
      </c>
      <c r="M11" s="24">
        <v>8500000</v>
      </c>
      <c r="N11" s="24"/>
      <c r="O11" s="814"/>
      <c r="P11" s="647"/>
      <c r="Q11" s="318"/>
      <c r="R11" s="25"/>
      <c r="S11" s="25"/>
      <c r="T11" s="25"/>
      <c r="U11" s="25"/>
      <c r="V11" s="24">
        <v>1200000</v>
      </c>
      <c r="W11" s="24">
        <v>1200000</v>
      </c>
      <c r="X11" s="24">
        <v>1200000</v>
      </c>
      <c r="Y11" s="24">
        <v>1200000</v>
      </c>
      <c r="Z11" s="24">
        <v>1200000</v>
      </c>
      <c r="AA11" s="24"/>
      <c r="AB11" s="26"/>
      <c r="AC11" s="450"/>
    </row>
    <row r="12" spans="1:29" ht="18" hidden="1">
      <c r="A12" s="22" t="s">
        <v>500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814"/>
      <c r="P12" s="647"/>
      <c r="Q12" s="318"/>
      <c r="R12" s="25"/>
      <c r="S12" s="25"/>
      <c r="T12" s="25"/>
      <c r="U12" s="25"/>
      <c r="V12" s="24"/>
      <c r="W12" s="24"/>
      <c r="X12" s="24"/>
      <c r="Y12" s="24"/>
      <c r="Z12" s="24"/>
      <c r="AA12" s="24"/>
      <c r="AB12" s="26"/>
      <c r="AC12" s="450"/>
    </row>
    <row r="13" spans="1:29" ht="30.75" hidden="1">
      <c r="A13" s="22" t="s">
        <v>514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317"/>
      <c r="P13" s="317"/>
      <c r="Q13" s="318"/>
      <c r="R13" s="25"/>
      <c r="S13" s="25"/>
      <c r="T13" s="25"/>
      <c r="U13" s="25"/>
      <c r="V13" s="24"/>
      <c r="W13" s="24"/>
      <c r="X13" s="24"/>
      <c r="Y13" s="24"/>
      <c r="Z13" s="24"/>
      <c r="AA13" s="24"/>
      <c r="AB13" s="26"/>
      <c r="AC13" s="450"/>
    </row>
    <row r="14" spans="1:29" ht="18" hidden="1">
      <c r="A14" s="22" t="s">
        <v>216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317"/>
      <c r="P14" s="647"/>
      <c r="Q14" s="318"/>
      <c r="R14" s="25"/>
      <c r="S14" s="25"/>
      <c r="T14" s="25"/>
      <c r="U14" s="25"/>
      <c r="V14" s="24"/>
      <c r="W14" s="24"/>
      <c r="X14" s="24"/>
      <c r="Y14" s="24"/>
      <c r="Z14" s="24"/>
      <c r="AA14" s="24"/>
      <c r="AB14" s="26"/>
      <c r="AC14" s="450"/>
    </row>
    <row r="15" spans="1:29" ht="18" hidden="1">
      <c r="A15" s="22" t="s">
        <v>217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17"/>
      <c r="P15" s="647"/>
      <c r="Q15" s="318"/>
      <c r="R15" s="25"/>
      <c r="S15" s="25"/>
      <c r="T15" s="25"/>
      <c r="U15" s="25"/>
      <c r="V15" s="24"/>
      <c r="W15" s="24"/>
      <c r="X15" s="24"/>
      <c r="Y15" s="24"/>
      <c r="Z15" s="24"/>
      <c r="AA15" s="24"/>
      <c r="AB15" s="26"/>
      <c r="AC15" s="450"/>
    </row>
    <row r="16" spans="1:29" ht="18">
      <c r="A16" s="22" t="s">
        <v>218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317"/>
      <c r="P16" s="647"/>
      <c r="Q16" s="318"/>
      <c r="R16" s="25"/>
      <c r="S16" s="25"/>
      <c r="T16" s="25"/>
      <c r="U16" s="25"/>
      <c r="V16" s="24">
        <v>5000000</v>
      </c>
      <c r="W16" s="24">
        <v>5000000</v>
      </c>
      <c r="X16" s="24">
        <v>5000000</v>
      </c>
      <c r="Y16" s="24">
        <f>5000000+850000</f>
        <v>5850000</v>
      </c>
      <c r="Z16" s="24">
        <v>6200000</v>
      </c>
      <c r="AA16" s="24"/>
      <c r="AB16" s="647">
        <f>Z16/Y16</f>
        <v>1.0598290598290598</v>
      </c>
      <c r="AC16" s="450"/>
    </row>
    <row r="17" spans="1:29" ht="33" customHeight="1">
      <c r="A17" s="22" t="s">
        <v>489</v>
      </c>
      <c r="B17" s="24"/>
      <c r="C17" s="24"/>
      <c r="D17" s="24"/>
      <c r="E17" s="24"/>
      <c r="F17" s="24"/>
      <c r="G17" s="24"/>
      <c r="H17" s="24"/>
      <c r="I17" s="24">
        <f>4100530+240495</f>
        <v>4341025</v>
      </c>
      <c r="J17" s="24">
        <f>4100530+240495</f>
        <v>4341025</v>
      </c>
      <c r="K17" s="24">
        <f>4100530+240495</f>
        <v>4341025</v>
      </c>
      <c r="L17" s="24">
        <f>4100530+240495</f>
        <v>4341025</v>
      </c>
      <c r="M17" s="24">
        <f>SUM(M19:M39)</f>
        <v>1403996</v>
      </c>
      <c r="N17" s="24">
        <f>SUM(N18:N40)</f>
        <v>0</v>
      </c>
      <c r="O17" s="24"/>
      <c r="P17" s="647"/>
      <c r="Q17" s="319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647" t="e">
        <f>Z17/Y17</f>
        <v>#DIV/0!</v>
      </c>
      <c r="AC17" s="718"/>
    </row>
    <row r="18" spans="1:29" ht="17.25" customHeight="1">
      <c r="A18" s="515" t="s">
        <v>723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317"/>
      <c r="P18" s="317"/>
      <c r="Q18" s="319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6"/>
      <c r="AC18" s="450"/>
    </row>
    <row r="19" spans="1:29" ht="17.25" customHeight="1">
      <c r="A19" s="515" t="s">
        <v>536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>
        <v>414640</v>
      </c>
      <c r="N19" s="24"/>
      <c r="O19" s="317"/>
      <c r="P19" s="647"/>
      <c r="Q19" s="319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6"/>
      <c r="AC19" s="718"/>
    </row>
    <row r="20" spans="1:29" ht="17.25" customHeight="1">
      <c r="A20" s="515" t="s">
        <v>676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>
        <v>40000</v>
      </c>
      <c r="N20" s="24"/>
      <c r="O20" s="317"/>
      <c r="P20" s="647"/>
      <c r="Q20" s="319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6"/>
      <c r="AC20" s="450"/>
    </row>
    <row r="21" spans="1:29" ht="17.25" customHeight="1" hidden="1">
      <c r="A21" s="515" t="s">
        <v>352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317"/>
      <c r="P21" s="647"/>
      <c r="Q21" s="319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6"/>
      <c r="AC21" s="450"/>
    </row>
    <row r="22" spans="1:29" ht="17.25" customHeight="1">
      <c r="A22" s="515" t="s">
        <v>353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>
        <v>131000</v>
      </c>
      <c r="N22" s="24"/>
      <c r="O22" s="317"/>
      <c r="P22" s="647"/>
      <c r="Q22" s="319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6"/>
      <c r="AC22" s="450"/>
    </row>
    <row r="23" spans="1:29" ht="31.5" customHeight="1">
      <c r="A23" s="515" t="s">
        <v>520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>
        <v>57000</v>
      </c>
      <c r="N23" s="24"/>
      <c r="O23" s="317"/>
      <c r="P23" s="647"/>
      <c r="Q23" s="319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6"/>
      <c r="AC23" s="450"/>
    </row>
    <row r="24" spans="1:29" ht="17.25" customHeight="1">
      <c r="A24" s="515" t="s">
        <v>357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>
        <v>15000</v>
      </c>
      <c r="N24" s="24"/>
      <c r="O24" s="317"/>
      <c r="P24" s="647"/>
      <c r="Q24" s="319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6"/>
      <c r="AC24" s="450"/>
    </row>
    <row r="25" spans="1:29" ht="30" customHeight="1" hidden="1">
      <c r="A25" s="515" t="s">
        <v>617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317"/>
      <c r="P25" s="647"/>
      <c r="Q25" s="319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6"/>
      <c r="AC25" s="450"/>
    </row>
    <row r="26" spans="1:29" ht="30" customHeight="1">
      <c r="A26" s="515" t="s">
        <v>620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>
        <v>200000</v>
      </c>
      <c r="N26" s="24"/>
      <c r="O26" s="317"/>
      <c r="P26" s="647"/>
      <c r="Q26" s="319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6"/>
      <c r="AC26" s="450"/>
    </row>
    <row r="27" spans="1:29" ht="17.25" customHeight="1" hidden="1">
      <c r="A27" s="515" t="s">
        <v>354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317"/>
      <c r="P27" s="647"/>
      <c r="Q27" s="319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6"/>
      <c r="AC27" s="450"/>
    </row>
    <row r="28" spans="1:29" ht="17.25" customHeight="1" hidden="1">
      <c r="A28" s="515" t="s">
        <v>431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317"/>
      <c r="P28" s="647"/>
      <c r="Q28" s="319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6"/>
      <c r="AC28" s="450"/>
    </row>
    <row r="29" spans="1:29" ht="17.25" customHeight="1" hidden="1">
      <c r="A29" s="515" t="s">
        <v>718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317"/>
      <c r="P29" s="647"/>
      <c r="Q29" s="319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6"/>
      <c r="AC29" s="450"/>
    </row>
    <row r="30" spans="1:29" ht="17.25" customHeight="1">
      <c r="A30" s="515" t="s">
        <v>719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>
        <v>20000</v>
      </c>
      <c r="N30" s="24"/>
      <c r="O30" s="317"/>
      <c r="P30" s="647"/>
      <c r="Q30" s="319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6"/>
      <c r="AC30" s="450"/>
    </row>
    <row r="31" spans="1:29" ht="17.25" customHeight="1" hidden="1">
      <c r="A31" s="515" t="s">
        <v>355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317"/>
      <c r="P31" s="647"/>
      <c r="Q31" s="319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6"/>
      <c r="AC31" s="450"/>
    </row>
    <row r="32" spans="1:29" ht="17.25" customHeight="1">
      <c r="A32" s="515" t="s">
        <v>534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>
        <v>9796</v>
      </c>
      <c r="N32" s="24"/>
      <c r="O32" s="317"/>
      <c r="P32" s="647"/>
      <c r="Q32" s="319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6"/>
      <c r="AC32" s="450"/>
    </row>
    <row r="33" spans="1:29" ht="17.25" customHeight="1" hidden="1">
      <c r="A33" s="515" t="s">
        <v>488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317"/>
      <c r="P33" s="647"/>
      <c r="Q33" s="319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6"/>
      <c r="AC33" s="450"/>
    </row>
    <row r="34" spans="1:29" ht="17.25" customHeight="1">
      <c r="A34" s="515" t="s">
        <v>535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>
        <v>20000</v>
      </c>
      <c r="N34" s="24"/>
      <c r="O34" s="317"/>
      <c r="P34" s="647"/>
      <c r="Q34" s="319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6"/>
      <c r="AC34" s="450"/>
    </row>
    <row r="35" spans="1:29" ht="17.25" customHeight="1">
      <c r="A35" s="515" t="s">
        <v>537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>
        <v>108000</v>
      </c>
      <c r="N35" s="24"/>
      <c r="O35" s="317"/>
      <c r="P35" s="647"/>
      <c r="Q35" s="319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6"/>
      <c r="AC35" s="450"/>
    </row>
    <row r="36" spans="1:29" ht="17.25" customHeight="1">
      <c r="A36" s="515" t="s">
        <v>488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>
        <v>30000</v>
      </c>
      <c r="N36" s="24"/>
      <c r="O36" s="317"/>
      <c r="P36" s="647"/>
      <c r="Q36" s="319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6"/>
      <c r="AC36" s="450"/>
    </row>
    <row r="37" spans="1:29" ht="17.25" customHeight="1" hidden="1">
      <c r="A37" s="51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317"/>
      <c r="P37" s="647"/>
      <c r="Q37" s="319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6"/>
      <c r="AC37" s="450"/>
    </row>
    <row r="38" spans="1:29" ht="17.25" customHeight="1" hidden="1">
      <c r="A38" s="51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317"/>
      <c r="P38" s="647"/>
      <c r="Q38" s="319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6"/>
      <c r="AC38" s="450"/>
    </row>
    <row r="39" spans="1:29" ht="17.25" customHeight="1">
      <c r="A39" s="515" t="s">
        <v>442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>
        <v>358560</v>
      </c>
      <c r="N39" s="24"/>
      <c r="O39" s="317"/>
      <c r="P39" s="647"/>
      <c r="Q39" s="319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6"/>
      <c r="AC39" s="450"/>
    </row>
    <row r="40" spans="1:29" ht="17.25" customHeight="1">
      <c r="A40" s="51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647"/>
      <c r="Q40" s="319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6"/>
      <c r="AC40" s="450"/>
    </row>
    <row r="41" spans="1:29" ht="17.25" customHeight="1">
      <c r="A41" s="22" t="s">
        <v>490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>
        <f>+M42+M43+M44</f>
        <v>96000</v>
      </c>
      <c r="N41" s="24">
        <f>SUM(N42:N44)</f>
        <v>0</v>
      </c>
      <c r="O41" s="24"/>
      <c r="P41" s="647"/>
      <c r="Q41" s="319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6"/>
      <c r="AC41" s="450"/>
    </row>
    <row r="42" spans="1:29" ht="17.25" customHeight="1">
      <c r="A42" s="515" t="s">
        <v>351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>
        <v>10000</v>
      </c>
      <c r="N42" s="24"/>
      <c r="O42" s="24"/>
      <c r="P42" s="647"/>
      <c r="Q42" s="319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6"/>
      <c r="AC42" s="718"/>
    </row>
    <row r="43" spans="1:29" ht="17.25" customHeight="1">
      <c r="A43" s="515" t="s">
        <v>487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1089"/>
      <c r="M43" s="1089">
        <v>56000</v>
      </c>
      <c r="N43" s="1089"/>
      <c r="O43" s="1089"/>
      <c r="P43" s="1090"/>
      <c r="Q43" s="1091"/>
      <c r="R43" s="1089"/>
      <c r="S43" s="1089"/>
      <c r="T43" s="1089"/>
      <c r="U43" s="1089"/>
      <c r="V43" s="1089"/>
      <c r="W43" s="1089"/>
      <c r="X43" s="1089"/>
      <c r="Y43" s="1089"/>
      <c r="Z43" s="1089">
        <v>70000</v>
      </c>
      <c r="AA43" s="24"/>
      <c r="AB43" s="26"/>
      <c r="AC43" s="450"/>
    </row>
    <row r="44" spans="1:29" ht="17.25" customHeight="1">
      <c r="A44" s="515" t="s">
        <v>356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1089"/>
      <c r="M44" s="1089">
        <v>30000</v>
      </c>
      <c r="N44" s="1089"/>
      <c r="O44" s="1089"/>
      <c r="P44" s="1090"/>
      <c r="Q44" s="1091"/>
      <c r="R44" s="1089"/>
      <c r="S44" s="1089"/>
      <c r="T44" s="1089"/>
      <c r="U44" s="1089"/>
      <c r="V44" s="1089"/>
      <c r="W44" s="1089"/>
      <c r="X44" s="1089"/>
      <c r="Y44" s="1089"/>
      <c r="Z44" s="1089"/>
      <c r="AA44" s="24"/>
      <c r="AB44" s="26"/>
      <c r="AC44" s="450"/>
    </row>
    <row r="45" spans="1:29" ht="17.25" customHeight="1">
      <c r="A45" s="51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317"/>
      <c r="P45" s="647"/>
      <c r="Q45" s="319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6"/>
      <c r="AC45" s="450"/>
    </row>
    <row r="46" spans="1:29" ht="17.25" customHeight="1" hidden="1">
      <c r="A46" s="914" t="s">
        <v>432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317"/>
      <c r="P46" s="647"/>
      <c r="Q46" s="319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6"/>
      <c r="AC46" s="450"/>
    </row>
    <row r="47" spans="1:29" ht="17.25" customHeight="1" hidden="1">
      <c r="A47" s="914" t="s">
        <v>619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317"/>
      <c r="P47" s="647"/>
      <c r="Q47" s="319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6"/>
      <c r="AC47" s="450"/>
    </row>
    <row r="48" spans="1:29" ht="17.25" customHeight="1">
      <c r="A48" s="22" t="s">
        <v>676</v>
      </c>
      <c r="B48" s="24"/>
      <c r="C48" s="24"/>
      <c r="D48" s="24"/>
      <c r="E48" s="24"/>
      <c r="F48" s="24"/>
      <c r="G48" s="24"/>
      <c r="H48" s="24"/>
      <c r="I48" s="24">
        <v>200000</v>
      </c>
      <c r="J48" s="24">
        <v>200000</v>
      </c>
      <c r="K48" s="24">
        <v>200000</v>
      </c>
      <c r="L48" s="24">
        <v>200000</v>
      </c>
      <c r="M48" s="24">
        <v>560000</v>
      </c>
      <c r="N48" s="24"/>
      <c r="O48" s="317"/>
      <c r="P48" s="647"/>
      <c r="Q48" s="319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6"/>
      <c r="AC48" s="450"/>
    </row>
    <row r="49" spans="1:29" ht="17.25" customHeight="1">
      <c r="A49" s="22" t="s">
        <v>618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>
        <v>65725</v>
      </c>
      <c r="N49" s="24"/>
      <c r="O49" s="317"/>
      <c r="P49" s="647"/>
      <c r="Q49" s="319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6"/>
      <c r="AC49" s="450"/>
    </row>
    <row r="50" spans="1:29" ht="17.25" customHeight="1" hidden="1">
      <c r="A50" s="22" t="s">
        <v>511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317"/>
      <c r="P50" s="647"/>
      <c r="Q50" s="319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6"/>
      <c r="AC50" s="450"/>
    </row>
    <row r="51" spans="1:29" ht="17.25" customHeight="1" hidden="1">
      <c r="A51" s="22" t="s">
        <v>512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317"/>
      <c r="P51" s="647"/>
      <c r="Q51" s="319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6"/>
      <c r="AC51" s="450"/>
    </row>
    <row r="52" spans="1:29" ht="17.25" customHeight="1">
      <c r="A52" s="22" t="s">
        <v>720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>
        <v>24000</v>
      </c>
      <c r="N52" s="24"/>
      <c r="O52" s="317"/>
      <c r="P52" s="317"/>
      <c r="Q52" s="319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6"/>
      <c r="AC52" s="450"/>
    </row>
    <row r="53" spans="1:29" ht="17.25" customHeight="1" hidden="1">
      <c r="A53" s="22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317"/>
      <c r="P53" s="317"/>
      <c r="Q53" s="319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6"/>
      <c r="AC53" s="450"/>
    </row>
    <row r="54" spans="1:29" ht="39.75" customHeight="1" hidden="1">
      <c r="A54" s="22" t="s">
        <v>538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317"/>
      <c r="P54" s="647"/>
      <c r="Q54" s="319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6"/>
      <c r="AC54" s="450"/>
    </row>
    <row r="55" spans="1:29" ht="36.75" customHeight="1">
      <c r="A55" s="22" t="s">
        <v>520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>
        <v>40000</v>
      </c>
      <c r="N55" s="24"/>
      <c r="O55" s="317"/>
      <c r="P55" s="647"/>
      <c r="Q55" s="319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6"/>
      <c r="AC55" s="450"/>
    </row>
    <row r="56" spans="1:29" ht="30.75" hidden="1">
      <c r="A56" s="22" t="s">
        <v>568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317"/>
      <c r="P56" s="647"/>
      <c r="Q56" s="319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6"/>
      <c r="AC56" s="450"/>
    </row>
    <row r="57" spans="1:29" ht="18">
      <c r="A57" s="43" t="s">
        <v>607</v>
      </c>
      <c r="B57" s="24"/>
      <c r="C57" s="24"/>
      <c r="D57" s="24"/>
      <c r="E57" s="24"/>
      <c r="F57" s="24"/>
      <c r="G57" s="24"/>
      <c r="H57" s="24"/>
      <c r="I57" s="24"/>
      <c r="J57" s="24"/>
      <c r="K57" s="24">
        <v>210000</v>
      </c>
      <c r="L57" s="24">
        <v>210000</v>
      </c>
      <c r="M57" s="24">
        <v>210000</v>
      </c>
      <c r="N57" s="24"/>
      <c r="O57" s="317"/>
      <c r="P57" s="647"/>
      <c r="Q57" s="319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6"/>
      <c r="AC57" s="450"/>
    </row>
    <row r="58" spans="1:29" ht="18" hidden="1">
      <c r="A58" s="43" t="s">
        <v>612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317"/>
      <c r="P58" s="647"/>
      <c r="Q58" s="319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6"/>
      <c r="AC58" s="450"/>
    </row>
    <row r="59" spans="1:29" ht="18">
      <c r="A59" s="22" t="s">
        <v>677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317"/>
      <c r="P59" s="647"/>
      <c r="Q59" s="319"/>
      <c r="R59" s="24"/>
      <c r="S59" s="24"/>
      <c r="T59" s="24"/>
      <c r="U59" s="24"/>
      <c r="V59" s="24">
        <v>500000</v>
      </c>
      <c r="W59" s="24">
        <v>500000</v>
      </c>
      <c r="X59" s="24">
        <v>500000</v>
      </c>
      <c r="Y59" s="24">
        <v>500000</v>
      </c>
      <c r="Z59" s="24">
        <v>500000</v>
      </c>
      <c r="AA59" s="24"/>
      <c r="AB59" s="26"/>
      <c r="AC59" s="450"/>
    </row>
    <row r="60" spans="1:28" ht="23.25" customHeight="1" thickBot="1">
      <c r="A60" s="935" t="s">
        <v>1</v>
      </c>
      <c r="B60" s="27">
        <f aca="true" t="shared" si="0" ref="B60:I60">SUM(B10:B59)</f>
        <v>0</v>
      </c>
      <c r="C60" s="27">
        <f t="shared" si="0"/>
        <v>0</v>
      </c>
      <c r="D60" s="27">
        <f t="shared" si="0"/>
        <v>0</v>
      </c>
      <c r="E60" s="27">
        <f t="shared" si="0"/>
        <v>0</v>
      </c>
      <c r="F60" s="27">
        <f t="shared" si="0"/>
        <v>0</v>
      </c>
      <c r="G60" s="27">
        <f t="shared" si="0"/>
        <v>0</v>
      </c>
      <c r="H60" s="27">
        <f t="shared" si="0"/>
        <v>0</v>
      </c>
      <c r="I60" s="27">
        <f t="shared" si="0"/>
        <v>11041025</v>
      </c>
      <c r="J60" s="27">
        <f>SUM(J10:J59)</f>
        <v>11041025</v>
      </c>
      <c r="K60" s="27">
        <f>SUM(K10:K59)</f>
        <v>11251025</v>
      </c>
      <c r="L60" s="27">
        <f>SUM(L10:L59)</f>
        <v>13251025</v>
      </c>
      <c r="M60" s="27">
        <f>+M57+M55+M52+M49+M48+M17+M11+M41</f>
        <v>10899721</v>
      </c>
      <c r="N60" s="27">
        <f>SUM(N10:N17,N41,N47:N59)</f>
        <v>0</v>
      </c>
      <c r="O60" s="27">
        <f>SUM(O10:O17,O41,O47:O53)</f>
        <v>0</v>
      </c>
      <c r="P60" s="936">
        <f>M60/L60</f>
        <v>0.8225568210761054</v>
      </c>
      <c r="Q60" s="937">
        <f aca="true" t="shared" si="1" ref="Q60:AB60">SUM(Q10:Q59)</f>
        <v>0</v>
      </c>
      <c r="R60" s="27">
        <f t="shared" si="1"/>
        <v>0</v>
      </c>
      <c r="S60" s="27">
        <f t="shared" si="1"/>
        <v>0</v>
      </c>
      <c r="T60" s="27">
        <f t="shared" si="1"/>
        <v>0</v>
      </c>
      <c r="U60" s="27">
        <f t="shared" si="1"/>
        <v>0</v>
      </c>
      <c r="V60" s="27">
        <f t="shared" si="1"/>
        <v>6700000</v>
      </c>
      <c r="W60" s="27">
        <f>SUM(W10:W59)</f>
        <v>6700000</v>
      </c>
      <c r="X60" s="27">
        <f t="shared" si="1"/>
        <v>6700000</v>
      </c>
      <c r="Y60" s="27">
        <f>SUM(Y10:Y59)</f>
        <v>7550000</v>
      </c>
      <c r="Z60" s="27">
        <f>SUM(Z10:Z59)</f>
        <v>7970000</v>
      </c>
      <c r="AA60" s="27">
        <f>SUM(AA10:AA59)</f>
        <v>0</v>
      </c>
      <c r="AB60" s="27" t="e">
        <f t="shared" si="1"/>
        <v>#DIV/0!</v>
      </c>
    </row>
    <row r="61" spans="1:28" ht="15">
      <c r="A61" s="938"/>
      <c r="B61" s="939"/>
      <c r="C61" s="939"/>
      <c r="D61" s="939"/>
      <c r="E61" s="939"/>
      <c r="F61" s="939"/>
      <c r="G61" s="939"/>
      <c r="H61" s="939"/>
      <c r="I61" s="818"/>
      <c r="J61" s="818"/>
      <c r="K61" s="818"/>
      <c r="L61" s="818"/>
      <c r="M61" s="818"/>
      <c r="N61" s="818"/>
      <c r="O61" s="818"/>
      <c r="P61" s="818"/>
      <c r="Q61" s="818"/>
      <c r="R61" s="939"/>
      <c r="S61" s="939"/>
      <c r="T61" s="939"/>
      <c r="U61" s="939"/>
      <c r="V61" s="818"/>
      <c r="X61" s="315"/>
      <c r="Z61" s="315"/>
      <c r="AA61" s="315"/>
      <c r="AB61" s="315"/>
    </row>
    <row r="62" spans="1:24" ht="14.25">
      <c r="A62" s="1276" t="s">
        <v>221</v>
      </c>
      <c r="B62" s="1276"/>
      <c r="C62" s="1276"/>
      <c r="D62" s="1276"/>
      <c r="E62" s="1276"/>
      <c r="F62" s="1276"/>
      <c r="G62" s="1276"/>
      <c r="H62" s="1276"/>
      <c r="I62" s="1276"/>
      <c r="J62" s="1276"/>
      <c r="K62" s="1276"/>
      <c r="L62" s="1276"/>
      <c r="M62" s="1276"/>
      <c r="N62" s="1276"/>
      <c r="O62" s="1276"/>
      <c r="P62" s="1276"/>
      <c r="Q62" s="1276"/>
      <c r="R62" s="1276"/>
      <c r="S62" s="1276"/>
      <c r="T62" s="1276"/>
      <c r="U62" s="1276"/>
      <c r="V62" s="1276"/>
      <c r="X62" s="315"/>
    </row>
    <row r="63" ht="13.5" thickBot="1">
      <c r="V63" s="9"/>
    </row>
    <row r="64" spans="1:29" ht="29.25" customHeight="1">
      <c r="A64" s="1293" t="s">
        <v>220</v>
      </c>
      <c r="B64" s="1295" t="s">
        <v>22</v>
      </c>
      <c r="C64" s="1296"/>
      <c r="D64" s="1296"/>
      <c r="E64" s="1296"/>
      <c r="F64" s="1296"/>
      <c r="G64" s="1296"/>
      <c r="H64" s="1296"/>
      <c r="I64" s="1296"/>
      <c r="J64" s="1296"/>
      <c r="K64" s="1296"/>
      <c r="L64" s="1296"/>
      <c r="M64" s="1296"/>
      <c r="N64" s="1296"/>
      <c r="O64" s="1296"/>
      <c r="P64" s="1296"/>
      <c r="Q64" s="1297" t="s">
        <v>23</v>
      </c>
      <c r="R64" s="1298"/>
      <c r="S64" s="1298"/>
      <c r="T64" s="1298"/>
      <c r="U64" s="1298"/>
      <c r="V64" s="1298"/>
      <c r="W64" s="1298"/>
      <c r="X64" s="1298"/>
      <c r="Y64" s="1298"/>
      <c r="Z64" s="1298"/>
      <c r="AA64" s="1295"/>
      <c r="AB64" s="1299"/>
      <c r="AC64" s="450"/>
    </row>
    <row r="65" spans="1:29" ht="29.25" customHeight="1">
      <c r="A65" s="1294"/>
      <c r="B65" s="1291" t="s">
        <v>62</v>
      </c>
      <c r="C65" s="1300"/>
      <c r="D65" s="1300"/>
      <c r="E65" s="1300"/>
      <c r="F65" s="1300"/>
      <c r="G65" s="1300"/>
      <c r="H65" s="1301"/>
      <c r="I65" s="1291" t="s">
        <v>63</v>
      </c>
      <c r="J65" s="1300"/>
      <c r="K65" s="1300"/>
      <c r="L65" s="1300"/>
      <c r="M65" s="1300"/>
      <c r="N65" s="1300"/>
      <c r="O65" s="1300"/>
      <c r="P65" s="1300"/>
      <c r="Q65" s="1302" t="s">
        <v>62</v>
      </c>
      <c r="R65" s="1290"/>
      <c r="S65" s="1290"/>
      <c r="T65" s="1290"/>
      <c r="U65" s="1290"/>
      <c r="V65" s="1290" t="s">
        <v>63</v>
      </c>
      <c r="W65" s="1290"/>
      <c r="X65" s="1290"/>
      <c r="Y65" s="1290"/>
      <c r="Z65" s="1290"/>
      <c r="AA65" s="1291"/>
      <c r="AB65" s="1292"/>
      <c r="AC65" s="450"/>
    </row>
    <row r="66" spans="1:29" ht="29.25" customHeight="1">
      <c r="A66" s="254"/>
      <c r="B66" s="255" t="s">
        <v>227</v>
      </c>
      <c r="C66" s="255" t="s">
        <v>225</v>
      </c>
      <c r="D66" s="451" t="s">
        <v>230</v>
      </c>
      <c r="E66" s="255" t="s">
        <v>232</v>
      </c>
      <c r="F66" s="255" t="s">
        <v>436</v>
      </c>
      <c r="G66" s="255" t="s">
        <v>440</v>
      </c>
      <c r="H66" s="255" t="s">
        <v>235</v>
      </c>
      <c r="I66" s="255" t="s">
        <v>227</v>
      </c>
      <c r="J66" s="711" t="s">
        <v>225</v>
      </c>
      <c r="K66" s="716" t="s">
        <v>230</v>
      </c>
      <c r="L66" s="717" t="s">
        <v>232</v>
      </c>
      <c r="M66" s="255" t="s">
        <v>436</v>
      </c>
      <c r="N66" s="740" t="s">
        <v>440</v>
      </c>
      <c r="O66" s="740"/>
      <c r="P66" s="717" t="s">
        <v>235</v>
      </c>
      <c r="Q66" s="712" t="s">
        <v>227</v>
      </c>
      <c r="R66" s="255" t="s">
        <v>225</v>
      </c>
      <c r="S66" s="451" t="s">
        <v>230</v>
      </c>
      <c r="T66" s="255" t="s">
        <v>232</v>
      </c>
      <c r="U66" s="255" t="s">
        <v>436</v>
      </c>
      <c r="V66" s="255" t="s">
        <v>227</v>
      </c>
      <c r="W66" s="255" t="s">
        <v>225</v>
      </c>
      <c r="X66" s="451" t="s">
        <v>230</v>
      </c>
      <c r="Y66" s="255" t="s">
        <v>232</v>
      </c>
      <c r="Z66" s="255" t="s">
        <v>436</v>
      </c>
      <c r="AA66" s="740" t="s">
        <v>440</v>
      </c>
      <c r="AB66" s="255" t="s">
        <v>235</v>
      </c>
      <c r="AC66" s="450"/>
    </row>
    <row r="67" spans="1:29" ht="45.75">
      <c r="A67" s="22" t="s">
        <v>686</v>
      </c>
      <c r="B67" s="24"/>
      <c r="C67" s="24"/>
      <c r="D67" s="24"/>
      <c r="E67" s="24"/>
      <c r="F67" s="24"/>
      <c r="G67" s="24"/>
      <c r="H67" s="647"/>
      <c r="I67" s="24"/>
      <c r="J67" s="24"/>
      <c r="K67" s="24"/>
      <c r="L67" s="24"/>
      <c r="M67" s="317"/>
      <c r="N67" s="317"/>
      <c r="O67" s="317"/>
      <c r="P67" s="317"/>
      <c r="Q67" s="319"/>
      <c r="R67" s="24">
        <v>89</v>
      </c>
      <c r="S67" s="24">
        <v>89</v>
      </c>
      <c r="T67" s="24">
        <v>5089</v>
      </c>
      <c r="U67" s="24">
        <v>5089</v>
      </c>
      <c r="V67" s="24"/>
      <c r="W67" s="24"/>
      <c r="X67" s="24"/>
      <c r="Y67" s="24"/>
      <c r="Z67" s="24"/>
      <c r="AA67" s="317"/>
      <c r="AB67" s="26"/>
      <c r="AC67" s="450"/>
    </row>
    <row r="68" spans="1:29" ht="18" hidden="1">
      <c r="A68" s="22" t="s">
        <v>441</v>
      </c>
      <c r="B68" s="42"/>
      <c r="C68" s="42"/>
      <c r="D68" s="42"/>
      <c r="E68" s="42"/>
      <c r="F68" s="42"/>
      <c r="G68" s="42"/>
      <c r="H68" s="647"/>
      <c r="I68" s="42"/>
      <c r="J68" s="42"/>
      <c r="K68" s="42"/>
      <c r="L68" s="42"/>
      <c r="M68" s="320"/>
      <c r="N68" s="320"/>
      <c r="O68" s="816"/>
      <c r="P68" s="320"/>
      <c r="Q68" s="319"/>
      <c r="R68" s="24"/>
      <c r="S68" s="24"/>
      <c r="T68" s="24"/>
      <c r="U68" s="24"/>
      <c r="V68" s="24"/>
      <c r="W68" s="24"/>
      <c r="X68" s="24"/>
      <c r="Y68" s="24"/>
      <c r="Z68" s="24"/>
      <c r="AA68" s="317"/>
      <c r="AB68" s="26"/>
      <c r="AC68" s="450"/>
    </row>
    <row r="69" spans="1:29" ht="18" hidden="1">
      <c r="A69" s="43" t="s">
        <v>486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817"/>
      <c r="P69" s="647"/>
      <c r="Q69" s="319"/>
      <c r="R69" s="24"/>
      <c r="S69" s="24"/>
      <c r="T69" s="24"/>
      <c r="U69" s="24"/>
      <c r="V69" s="24"/>
      <c r="W69" s="24"/>
      <c r="X69" s="24"/>
      <c r="Y69" s="24"/>
      <c r="Z69" s="24"/>
      <c r="AA69" s="317"/>
      <c r="AB69" s="26"/>
      <c r="AC69" s="450"/>
    </row>
    <row r="70" spans="1:29" ht="18">
      <c r="A70" s="43" t="s">
        <v>485</v>
      </c>
      <c r="B70" s="42"/>
      <c r="C70" s="42"/>
      <c r="D70" s="42"/>
      <c r="E70" s="42"/>
      <c r="F70" s="42"/>
      <c r="G70" s="42"/>
      <c r="H70" s="42"/>
      <c r="I70" s="42">
        <v>1052568</v>
      </c>
      <c r="J70" s="42">
        <v>1052568</v>
      </c>
      <c r="K70" s="42">
        <v>1052568</v>
      </c>
      <c r="L70" s="42">
        <v>1052568</v>
      </c>
      <c r="M70" s="42">
        <v>1074546</v>
      </c>
      <c r="N70" s="42">
        <f>72414*8+80460*4</f>
        <v>901152</v>
      </c>
      <c r="O70" s="817"/>
      <c r="P70" s="647"/>
      <c r="Q70" s="319"/>
      <c r="R70" s="24"/>
      <c r="S70" s="24"/>
      <c r="T70" s="24"/>
      <c r="U70" s="24"/>
      <c r="V70" s="24"/>
      <c r="W70" s="24"/>
      <c r="X70" s="24"/>
      <c r="Y70" s="24"/>
      <c r="Z70" s="24"/>
      <c r="AA70" s="317"/>
      <c r="AB70" s="26"/>
      <c r="AC70" s="450"/>
    </row>
    <row r="71" spans="1:29" ht="18">
      <c r="A71" s="43" t="s">
        <v>501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>
        <f>154458+154457</f>
        <v>308915</v>
      </c>
      <c r="O71" s="817"/>
      <c r="P71" s="647"/>
      <c r="Q71" s="319"/>
      <c r="R71" s="24"/>
      <c r="S71" s="24"/>
      <c r="T71" s="24"/>
      <c r="U71" s="24"/>
      <c r="V71" s="24"/>
      <c r="W71" s="24"/>
      <c r="X71" s="24"/>
      <c r="Y71" s="24"/>
      <c r="Z71" s="24"/>
      <c r="AA71" s="317"/>
      <c r="AB71" s="26"/>
      <c r="AC71" s="450"/>
    </row>
    <row r="72" spans="1:29" ht="18">
      <c r="A72" s="43" t="s">
        <v>222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320"/>
      <c r="P72" s="647"/>
      <c r="Q72" s="319"/>
      <c r="R72" s="24"/>
      <c r="S72" s="24"/>
      <c r="T72" s="24"/>
      <c r="U72" s="24"/>
      <c r="V72" s="24"/>
      <c r="W72" s="24"/>
      <c r="X72" s="24"/>
      <c r="Y72" s="24"/>
      <c r="Z72" s="24"/>
      <c r="AA72" s="317"/>
      <c r="AB72" s="26"/>
      <c r="AC72" s="450"/>
    </row>
    <row r="73" spans="1:29" ht="18">
      <c r="A73" s="43" t="s">
        <v>223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>
        <v>66485</v>
      </c>
      <c r="O73" s="320"/>
      <c r="P73" s="647"/>
      <c r="Q73" s="319"/>
      <c r="R73" s="24"/>
      <c r="S73" s="24"/>
      <c r="T73" s="24"/>
      <c r="U73" s="24"/>
      <c r="V73" s="24"/>
      <c r="W73" s="24"/>
      <c r="X73" s="24"/>
      <c r="Y73" s="24"/>
      <c r="Z73" s="24"/>
      <c r="AA73" s="317"/>
      <c r="AB73" s="26"/>
      <c r="AC73" s="450"/>
    </row>
    <row r="74" spans="1:29" ht="18">
      <c r="A74" s="43" t="s">
        <v>224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320"/>
      <c r="P74" s="647"/>
      <c r="Q74" s="319"/>
      <c r="R74" s="24"/>
      <c r="S74" s="24"/>
      <c r="T74" s="24"/>
      <c r="U74" s="24"/>
      <c r="V74" s="24"/>
      <c r="W74" s="24"/>
      <c r="X74" s="24"/>
      <c r="Y74" s="24"/>
      <c r="Z74" s="24"/>
      <c r="AA74" s="317"/>
      <c r="AB74" s="26"/>
      <c r="AC74" s="450"/>
    </row>
    <row r="75" spans="1:29" ht="30.75">
      <c r="A75" s="43" t="s">
        <v>717</v>
      </c>
      <c r="B75" s="42"/>
      <c r="C75" s="42"/>
      <c r="D75" s="42"/>
      <c r="E75" s="42"/>
      <c r="F75" s="42">
        <v>341770</v>
      </c>
      <c r="G75" s="42"/>
      <c r="H75" s="42"/>
      <c r="I75" s="42"/>
      <c r="J75" s="42"/>
      <c r="K75" s="42"/>
      <c r="L75" s="42"/>
      <c r="M75" s="42"/>
      <c r="N75" s="42"/>
      <c r="O75" s="320"/>
      <c r="P75" s="647"/>
      <c r="Q75" s="319"/>
      <c r="R75" s="24"/>
      <c r="S75" s="24"/>
      <c r="T75" s="24"/>
      <c r="U75" s="24"/>
      <c r="V75" s="24"/>
      <c r="W75" s="24"/>
      <c r="X75" s="24"/>
      <c r="Y75" s="24"/>
      <c r="Z75" s="24"/>
      <c r="AA75" s="317"/>
      <c r="AB75" s="26"/>
      <c r="AC75" s="450"/>
    </row>
    <row r="76" spans="1:29" ht="18">
      <c r="A76" s="43" t="s">
        <v>567</v>
      </c>
      <c r="B76" s="42"/>
      <c r="C76" s="42"/>
      <c r="D76" s="42"/>
      <c r="E76" s="42"/>
      <c r="F76" s="42"/>
      <c r="G76" s="42"/>
      <c r="H76" s="42"/>
      <c r="I76" s="42">
        <v>239220</v>
      </c>
      <c r="J76" s="42">
        <v>239220</v>
      </c>
      <c r="K76" s="42">
        <v>239220</v>
      </c>
      <c r="L76" s="42">
        <v>239220</v>
      </c>
      <c r="M76" s="42"/>
      <c r="N76" s="42">
        <f>241290+241380</f>
        <v>482670</v>
      </c>
      <c r="O76" s="320"/>
      <c r="P76" s="647"/>
      <c r="Q76" s="319"/>
      <c r="R76" s="24"/>
      <c r="S76" s="24"/>
      <c r="T76" s="24"/>
      <c r="U76" s="24"/>
      <c r="V76" s="24"/>
      <c r="W76" s="24"/>
      <c r="X76" s="24"/>
      <c r="Y76" s="24"/>
      <c r="Z76" s="24"/>
      <c r="AA76" s="317"/>
      <c r="AB76" s="26"/>
      <c r="AC76" s="450"/>
    </row>
    <row r="77" spans="1:29" ht="39" customHeight="1">
      <c r="A77" s="43" t="s">
        <v>642</v>
      </c>
      <c r="B77" s="42">
        <v>141199583</v>
      </c>
      <c r="C77" s="42">
        <v>141199583</v>
      </c>
      <c r="D77" s="42">
        <v>141199583</v>
      </c>
      <c r="E77" s="42">
        <v>141199583</v>
      </c>
      <c r="F77" s="42">
        <v>137653858</v>
      </c>
      <c r="G77" s="42"/>
      <c r="H77" s="647"/>
      <c r="I77" s="42"/>
      <c r="J77" s="42"/>
      <c r="K77" s="42"/>
      <c r="L77" s="42"/>
      <c r="M77" s="42"/>
      <c r="N77" s="42"/>
      <c r="O77" s="320"/>
      <c r="P77" s="320"/>
      <c r="Q77" s="319"/>
      <c r="R77" s="24"/>
      <c r="S77" s="24"/>
      <c r="T77" s="24"/>
      <c r="U77" s="24"/>
      <c r="V77" s="24"/>
      <c r="W77" s="24"/>
      <c r="X77" s="24"/>
      <c r="Y77" s="24"/>
      <c r="Z77" s="24"/>
      <c r="AA77" s="317"/>
      <c r="AB77" s="26"/>
      <c r="AC77" s="450"/>
    </row>
    <row r="78" spans="1:29" ht="39" customHeight="1">
      <c r="A78" s="43" t="s">
        <v>543</v>
      </c>
      <c r="B78" s="42"/>
      <c r="C78" s="42"/>
      <c r="D78" s="42"/>
      <c r="E78" s="42"/>
      <c r="F78" s="42"/>
      <c r="G78" s="42"/>
      <c r="H78" s="883"/>
      <c r="I78" s="42"/>
      <c r="J78" s="42"/>
      <c r="K78" s="42"/>
      <c r="L78" s="42"/>
      <c r="M78" s="42"/>
      <c r="N78" s="42"/>
      <c r="O78" s="320"/>
      <c r="P78" s="320"/>
      <c r="Q78" s="319"/>
      <c r="R78" s="24"/>
      <c r="S78" s="24"/>
      <c r="T78" s="24"/>
      <c r="U78" s="24"/>
      <c r="V78" s="24"/>
      <c r="W78" s="24"/>
      <c r="X78" s="24"/>
      <c r="Y78" s="24"/>
      <c r="Z78" s="24"/>
      <c r="AA78" s="317"/>
      <c r="AB78" s="26"/>
      <c r="AC78" s="450"/>
    </row>
    <row r="79" spans="1:29" ht="18">
      <c r="A79" s="43" t="s">
        <v>239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320"/>
      <c r="P79" s="320"/>
      <c r="Q79" s="319"/>
      <c r="R79" s="24"/>
      <c r="S79" s="24"/>
      <c r="T79" s="24"/>
      <c r="U79" s="24"/>
      <c r="V79" s="24"/>
      <c r="W79" s="24"/>
      <c r="X79" s="24"/>
      <c r="Y79" s="24"/>
      <c r="Z79" s="24"/>
      <c r="AA79" s="317"/>
      <c r="AB79" s="26"/>
      <c r="AC79" s="450"/>
    </row>
    <row r="80" spans="1:29" ht="18">
      <c r="A80" s="43" t="s">
        <v>533</v>
      </c>
      <c r="B80" s="42">
        <v>460000</v>
      </c>
      <c r="C80" s="42">
        <v>460000</v>
      </c>
      <c r="D80" s="42">
        <v>460000</v>
      </c>
      <c r="E80" s="42">
        <v>460000</v>
      </c>
      <c r="F80" s="42">
        <v>470000</v>
      </c>
      <c r="G80" s="42">
        <v>530000</v>
      </c>
      <c r="H80" s="42"/>
      <c r="I80" s="42"/>
      <c r="J80" s="42"/>
      <c r="K80" s="42"/>
      <c r="L80" s="42"/>
      <c r="M80" s="42"/>
      <c r="N80" s="42"/>
      <c r="O80" s="320"/>
      <c r="P80" s="320"/>
      <c r="Q80" s="319"/>
      <c r="R80" s="24"/>
      <c r="S80" s="24"/>
      <c r="T80" s="24"/>
      <c r="U80" s="24"/>
      <c r="V80" s="24"/>
      <c r="W80" s="24"/>
      <c r="X80" s="24"/>
      <c r="Y80" s="24"/>
      <c r="Z80" s="24"/>
      <c r="AA80" s="317"/>
      <c r="AB80" s="26"/>
      <c r="AC80" s="450"/>
    </row>
    <row r="81" spans="1:29" ht="47.25" customHeight="1">
      <c r="A81" s="43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320"/>
      <c r="P81" s="320"/>
      <c r="Q81" s="319"/>
      <c r="R81" s="24"/>
      <c r="S81" s="24"/>
      <c r="T81" s="24"/>
      <c r="U81" s="24"/>
      <c r="V81" s="24"/>
      <c r="W81" s="24"/>
      <c r="X81" s="24"/>
      <c r="Y81" s="24"/>
      <c r="Z81" s="24"/>
      <c r="AA81" s="317"/>
      <c r="AB81" s="26"/>
      <c r="AC81" s="450"/>
    </row>
    <row r="82" spans="1:29" ht="39" customHeight="1" hidden="1">
      <c r="A82" s="43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320"/>
      <c r="P82" s="320"/>
      <c r="Q82" s="319"/>
      <c r="R82" s="24"/>
      <c r="S82" s="24"/>
      <c r="T82" s="24"/>
      <c r="U82" s="24"/>
      <c r="V82" s="24"/>
      <c r="W82" s="24"/>
      <c r="X82" s="24"/>
      <c r="Y82" s="24"/>
      <c r="Z82" s="24"/>
      <c r="AA82" s="317"/>
      <c r="AB82" s="26"/>
      <c r="AC82" s="450"/>
    </row>
    <row r="83" spans="1:29" ht="39" customHeight="1" hidden="1">
      <c r="A83" s="43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320"/>
      <c r="P83" s="320"/>
      <c r="Q83" s="319"/>
      <c r="R83" s="24"/>
      <c r="S83" s="24"/>
      <c r="T83" s="24"/>
      <c r="U83" s="24"/>
      <c r="V83" s="24"/>
      <c r="W83" s="24"/>
      <c r="X83" s="24"/>
      <c r="Y83" s="24"/>
      <c r="Z83" s="24"/>
      <c r="AA83" s="317"/>
      <c r="AB83" s="26"/>
      <c r="AC83" s="450"/>
    </row>
    <row r="84" spans="1:29" ht="39" customHeight="1" hidden="1">
      <c r="A84" s="43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320"/>
      <c r="P84" s="320"/>
      <c r="Q84" s="319"/>
      <c r="R84" s="24"/>
      <c r="S84" s="24"/>
      <c r="T84" s="24"/>
      <c r="U84" s="24"/>
      <c r="V84" s="24"/>
      <c r="W84" s="24"/>
      <c r="X84" s="24"/>
      <c r="Y84" s="24"/>
      <c r="Z84" s="24"/>
      <c r="AA84" s="317"/>
      <c r="AB84" s="26"/>
      <c r="AC84" s="450"/>
    </row>
    <row r="85" spans="1:29" ht="39" customHeight="1" hidden="1">
      <c r="A85" s="43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320"/>
      <c r="P85" s="320"/>
      <c r="Q85" s="319"/>
      <c r="R85" s="24"/>
      <c r="S85" s="24"/>
      <c r="T85" s="24"/>
      <c r="U85" s="24"/>
      <c r="V85" s="24"/>
      <c r="W85" s="24"/>
      <c r="X85" s="24"/>
      <c r="Y85" s="24"/>
      <c r="Z85" s="24"/>
      <c r="AA85" s="317"/>
      <c r="AB85" s="26"/>
      <c r="AC85" s="450"/>
    </row>
    <row r="86" spans="1:29" ht="39" customHeight="1" hidden="1">
      <c r="A86" s="43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320"/>
      <c r="P86" s="320"/>
      <c r="Q86" s="319"/>
      <c r="R86" s="24"/>
      <c r="S86" s="24"/>
      <c r="T86" s="24"/>
      <c r="U86" s="24"/>
      <c r="V86" s="24"/>
      <c r="W86" s="24"/>
      <c r="X86" s="24"/>
      <c r="Y86" s="24"/>
      <c r="Z86" s="24"/>
      <c r="AA86" s="317"/>
      <c r="AB86" s="26"/>
      <c r="AC86" s="450"/>
    </row>
    <row r="87" spans="1:29" ht="39" customHeight="1" hidden="1">
      <c r="A87" s="43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320"/>
      <c r="P87" s="320"/>
      <c r="Q87" s="319"/>
      <c r="R87" s="24"/>
      <c r="S87" s="24"/>
      <c r="T87" s="24"/>
      <c r="U87" s="24"/>
      <c r="V87" s="24"/>
      <c r="W87" s="24"/>
      <c r="X87" s="24"/>
      <c r="Y87" s="24"/>
      <c r="Z87" s="24"/>
      <c r="AA87" s="317"/>
      <c r="AB87" s="26"/>
      <c r="AC87" s="450"/>
    </row>
    <row r="88" spans="1:29" s="11" customFormat="1" ht="27" customHeight="1" thickBot="1">
      <c r="A88" s="23" t="s">
        <v>1</v>
      </c>
      <c r="B88" s="28">
        <f aca="true" t="shared" si="2" ref="B88:G88">SUM(B67:B82)</f>
        <v>141659583</v>
      </c>
      <c r="C88" s="28">
        <f>SUM(C67:C82)</f>
        <v>141659583</v>
      </c>
      <c r="D88" s="28">
        <f>SUM(D67:D82)</f>
        <v>141659583</v>
      </c>
      <c r="E88" s="28">
        <f>SUM(E67:E82)</f>
        <v>141659583</v>
      </c>
      <c r="F88" s="28">
        <f t="shared" si="2"/>
        <v>138465628</v>
      </c>
      <c r="G88" s="28">
        <f t="shared" si="2"/>
        <v>530000</v>
      </c>
      <c r="H88" s="650">
        <f>F88/E88</f>
        <v>0.9774533079064619</v>
      </c>
      <c r="I88" s="649">
        <f aca="true" t="shared" si="3" ref="I88:V88">SUM(I67:I82)</f>
        <v>1291788</v>
      </c>
      <c r="J88" s="649">
        <f>SUM(J67:J82)</f>
        <v>1291788</v>
      </c>
      <c r="K88" s="649">
        <f>SUM(K67:K82)</f>
        <v>1291788</v>
      </c>
      <c r="L88" s="649">
        <f>SUM(L67:L82)</f>
        <v>1291788</v>
      </c>
      <c r="M88" s="649">
        <f>SUM(M67:M82)</f>
        <v>1074546</v>
      </c>
      <c r="N88" s="649">
        <f>SUM(N67:N82)</f>
        <v>1759222</v>
      </c>
      <c r="O88" s="649"/>
      <c r="P88" s="650">
        <f>M88/L88</f>
        <v>0.8318284424379232</v>
      </c>
      <c r="Q88" s="648">
        <f t="shared" si="3"/>
        <v>0</v>
      </c>
      <c r="R88" s="28">
        <f t="shared" si="3"/>
        <v>89</v>
      </c>
      <c r="S88" s="28">
        <f t="shared" si="3"/>
        <v>89</v>
      </c>
      <c r="T88" s="28">
        <f t="shared" si="3"/>
        <v>5089</v>
      </c>
      <c r="U88" s="28">
        <f t="shared" si="3"/>
        <v>5089</v>
      </c>
      <c r="V88" s="28">
        <f t="shared" si="3"/>
        <v>0</v>
      </c>
      <c r="W88" s="28">
        <f>SUM(W67:W87)</f>
        <v>0</v>
      </c>
      <c r="X88" s="28"/>
      <c r="Y88" s="28"/>
      <c r="Z88" s="28"/>
      <c r="AA88" s="739"/>
      <c r="AB88" s="223"/>
      <c r="AC88" s="450"/>
    </row>
    <row r="89" spans="2:22" ht="18">
      <c r="B89" s="315"/>
      <c r="G89" s="923"/>
      <c r="H89" s="923"/>
      <c r="I89" s="924"/>
      <c r="J89" s="923"/>
      <c r="K89" s="923"/>
      <c r="L89" s="923"/>
      <c r="M89" s="924"/>
      <c r="N89" s="924"/>
      <c r="O89" s="924"/>
      <c r="V89" s="818"/>
    </row>
    <row r="90" spans="1:22" ht="14.25" hidden="1">
      <c r="A90" s="1276"/>
      <c r="B90" s="1276"/>
      <c r="C90" s="1276"/>
      <c r="D90" s="1276"/>
      <c r="E90" s="1276"/>
      <c r="F90" s="1276"/>
      <c r="G90" s="1276"/>
      <c r="H90" s="1276"/>
      <c r="I90" s="1276"/>
      <c r="J90" s="1276"/>
      <c r="K90" s="1276"/>
      <c r="L90" s="1276"/>
      <c r="M90" s="1276"/>
      <c r="N90" s="1276"/>
      <c r="O90" s="1276"/>
      <c r="P90" s="1276"/>
      <c r="Q90" s="1276"/>
      <c r="R90" s="1276"/>
      <c r="S90" s="1276"/>
      <c r="T90" s="1276"/>
      <c r="U90" s="1276"/>
      <c r="V90" s="1276"/>
    </row>
    <row r="91" spans="1:15" ht="18.75" hidden="1" thickBot="1">
      <c r="A91" s="795"/>
      <c r="E91" s="315"/>
      <c r="F91" s="315"/>
      <c r="G91" s="315"/>
      <c r="N91" s="925"/>
      <c r="O91" s="925"/>
    </row>
    <row r="92" spans="1:28" ht="15.75" hidden="1">
      <c r="A92" s="1277"/>
      <c r="B92" s="1279"/>
      <c r="C92" s="1280"/>
      <c r="D92" s="1280"/>
      <c r="E92" s="1280"/>
      <c r="F92" s="1280"/>
      <c r="G92" s="1280"/>
      <c r="H92" s="1280"/>
      <c r="I92" s="1280"/>
      <c r="J92" s="1280"/>
      <c r="K92" s="1280"/>
      <c r="L92" s="1280"/>
      <c r="M92" s="1280"/>
      <c r="N92" s="1280"/>
      <c r="O92" s="1280"/>
      <c r="P92" s="1280"/>
      <c r="Q92" s="1281"/>
      <c r="R92" s="1282"/>
      <c r="S92" s="1282"/>
      <c r="T92" s="1282"/>
      <c r="U92" s="1282"/>
      <c r="V92" s="1282"/>
      <c r="W92" s="1282"/>
      <c r="X92" s="1282"/>
      <c r="Y92" s="1282"/>
      <c r="Z92" s="1282"/>
      <c r="AA92" s="1279"/>
      <c r="AB92" s="1283"/>
    </row>
    <row r="93" spans="1:28" ht="15.75" hidden="1">
      <c r="A93" s="1278"/>
      <c r="B93" s="1284"/>
      <c r="C93" s="1285"/>
      <c r="D93" s="1285"/>
      <c r="E93" s="1285"/>
      <c r="F93" s="1285"/>
      <c r="G93" s="1285"/>
      <c r="H93" s="1286"/>
      <c r="I93" s="1284"/>
      <c r="J93" s="1285"/>
      <c r="K93" s="1285"/>
      <c r="L93" s="1285"/>
      <c r="M93" s="1285"/>
      <c r="N93" s="1285"/>
      <c r="O93" s="1285"/>
      <c r="P93" s="1285"/>
      <c r="Q93" s="1287"/>
      <c r="R93" s="1288"/>
      <c r="S93" s="1288"/>
      <c r="T93" s="1288"/>
      <c r="U93" s="1288"/>
      <c r="V93" s="1288"/>
      <c r="W93" s="1288"/>
      <c r="X93" s="1288"/>
      <c r="Y93" s="1288"/>
      <c r="Z93" s="1288"/>
      <c r="AA93" s="1284"/>
      <c r="AB93" s="1289"/>
    </row>
    <row r="94" spans="1:28" ht="15.75" hidden="1">
      <c r="A94" s="926"/>
      <c r="B94" s="929"/>
      <c r="C94" s="929"/>
      <c r="D94" s="930"/>
      <c r="E94" s="929"/>
      <c r="F94" s="929"/>
      <c r="G94" s="929"/>
      <c r="H94" s="929"/>
      <c r="I94" s="929"/>
      <c r="J94" s="928"/>
      <c r="K94" s="931"/>
      <c r="L94" s="932"/>
      <c r="M94" s="929"/>
      <c r="N94" s="933"/>
      <c r="O94" s="933"/>
      <c r="P94" s="932"/>
      <c r="Q94" s="927"/>
      <c r="R94" s="929"/>
      <c r="S94" s="930"/>
      <c r="T94" s="929"/>
      <c r="U94" s="929"/>
      <c r="V94" s="929"/>
      <c r="W94" s="929"/>
      <c r="X94" s="930"/>
      <c r="Y94" s="929"/>
      <c r="Z94" s="929"/>
      <c r="AA94" s="933"/>
      <c r="AB94" s="929"/>
    </row>
    <row r="95" spans="1:28" ht="18" hidden="1">
      <c r="A95" s="22"/>
      <c r="B95" s="24"/>
      <c r="C95" s="24"/>
      <c r="D95" s="24"/>
      <c r="E95" s="24"/>
      <c r="F95" s="24"/>
      <c r="G95" s="24"/>
      <c r="H95" s="647"/>
      <c r="I95" s="24"/>
      <c r="J95" s="24"/>
      <c r="K95" s="24"/>
      <c r="L95" s="24"/>
      <c r="M95" s="317"/>
      <c r="N95" s="317"/>
      <c r="O95" s="317"/>
      <c r="P95" s="317"/>
      <c r="Q95" s="319"/>
      <c r="R95" s="24"/>
      <c r="S95" s="24"/>
      <c r="T95" s="24"/>
      <c r="U95" s="24"/>
      <c r="V95" s="24"/>
      <c r="W95" s="24"/>
      <c r="X95" s="24"/>
      <c r="Y95" s="24"/>
      <c r="Z95" s="24"/>
      <c r="AA95" s="317"/>
      <c r="AB95" s="26"/>
    </row>
    <row r="96" spans="1:28" ht="18" hidden="1">
      <c r="A96" s="22"/>
      <c r="B96" s="42"/>
      <c r="C96" s="42"/>
      <c r="D96" s="42"/>
      <c r="E96" s="42"/>
      <c r="F96" s="42"/>
      <c r="G96" s="42"/>
      <c r="H96" s="647"/>
      <c r="I96" s="42"/>
      <c r="J96" s="42"/>
      <c r="K96" s="42"/>
      <c r="L96" s="42"/>
      <c r="M96" s="320"/>
      <c r="N96" s="320"/>
      <c r="O96" s="320"/>
      <c r="P96" s="320"/>
      <c r="Q96" s="319"/>
      <c r="R96" s="24"/>
      <c r="S96" s="24"/>
      <c r="T96" s="24"/>
      <c r="U96" s="24"/>
      <c r="V96" s="24"/>
      <c r="W96" s="24"/>
      <c r="X96" s="24"/>
      <c r="Y96" s="24"/>
      <c r="Z96" s="24"/>
      <c r="AA96" s="317"/>
      <c r="AB96" s="26"/>
    </row>
    <row r="97" spans="1:28" ht="18" hidden="1">
      <c r="A97" s="43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320"/>
      <c r="P97" s="647"/>
      <c r="Q97" s="319"/>
      <c r="R97" s="24"/>
      <c r="S97" s="24"/>
      <c r="T97" s="24"/>
      <c r="U97" s="24"/>
      <c r="V97" s="24"/>
      <c r="W97" s="24"/>
      <c r="X97" s="24"/>
      <c r="Y97" s="24"/>
      <c r="Z97" s="24"/>
      <c r="AA97" s="317"/>
      <c r="AB97" s="26"/>
    </row>
    <row r="98" spans="1:28" ht="18" hidden="1">
      <c r="A98" s="43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320"/>
      <c r="P98" s="647"/>
      <c r="Q98" s="319"/>
      <c r="R98" s="24"/>
      <c r="S98" s="24"/>
      <c r="T98" s="24"/>
      <c r="U98" s="24"/>
      <c r="V98" s="24"/>
      <c r="W98" s="24"/>
      <c r="X98" s="24"/>
      <c r="Y98" s="24"/>
      <c r="Z98" s="24"/>
      <c r="AA98" s="317"/>
      <c r="AB98" s="26"/>
    </row>
    <row r="99" spans="1:28" ht="18" hidden="1">
      <c r="A99" s="43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320"/>
      <c r="P99" s="647"/>
      <c r="Q99" s="319"/>
      <c r="R99" s="24"/>
      <c r="S99" s="24"/>
      <c r="T99" s="24"/>
      <c r="U99" s="24"/>
      <c r="V99" s="24"/>
      <c r="W99" s="24"/>
      <c r="X99" s="24"/>
      <c r="Y99" s="24"/>
      <c r="Z99" s="24"/>
      <c r="AA99" s="317"/>
      <c r="AB99" s="26"/>
    </row>
    <row r="100" spans="1:28" ht="18" hidden="1">
      <c r="A100" s="43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320"/>
      <c r="P100" s="647"/>
      <c r="Q100" s="319"/>
      <c r="R100" s="24"/>
      <c r="S100" s="24"/>
      <c r="T100" s="24"/>
      <c r="U100" s="24"/>
      <c r="V100" s="24"/>
      <c r="W100" s="24"/>
      <c r="X100" s="24"/>
      <c r="Y100" s="24"/>
      <c r="Z100" s="24"/>
      <c r="AA100" s="317"/>
      <c r="AB100" s="26"/>
    </row>
    <row r="101" spans="1:28" ht="18" hidden="1">
      <c r="A101" s="43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320"/>
      <c r="P101" s="647"/>
      <c r="Q101" s="319"/>
      <c r="R101" s="24"/>
      <c r="S101" s="24"/>
      <c r="T101" s="24"/>
      <c r="U101" s="24"/>
      <c r="V101" s="24"/>
      <c r="W101" s="24"/>
      <c r="X101" s="24"/>
      <c r="Y101" s="24"/>
      <c r="Z101" s="24"/>
      <c r="AA101" s="317"/>
      <c r="AB101" s="26"/>
    </row>
    <row r="102" spans="1:28" ht="18" hidden="1">
      <c r="A102" s="43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320"/>
      <c r="P102" s="647"/>
      <c r="Q102" s="319"/>
      <c r="R102" s="24"/>
      <c r="S102" s="24"/>
      <c r="T102" s="24"/>
      <c r="U102" s="24"/>
      <c r="V102" s="24"/>
      <c r="W102" s="24"/>
      <c r="X102" s="24"/>
      <c r="Y102" s="24"/>
      <c r="Z102" s="24"/>
      <c r="AA102" s="317"/>
      <c r="AB102" s="26"/>
    </row>
    <row r="103" spans="1:28" ht="18" hidden="1">
      <c r="A103" s="43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320"/>
      <c r="P103" s="647"/>
      <c r="Q103" s="319"/>
      <c r="R103" s="24"/>
      <c r="S103" s="24"/>
      <c r="T103" s="24"/>
      <c r="U103" s="24"/>
      <c r="V103" s="24"/>
      <c r="W103" s="24"/>
      <c r="X103" s="24"/>
      <c r="Y103" s="24"/>
      <c r="Z103" s="24"/>
      <c r="AA103" s="317"/>
      <c r="AB103" s="26"/>
    </row>
    <row r="104" spans="1:28" ht="18" hidden="1">
      <c r="A104" s="43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320"/>
      <c r="P104" s="647"/>
      <c r="Q104" s="319"/>
      <c r="R104" s="24"/>
      <c r="S104" s="24"/>
      <c r="T104" s="24"/>
      <c r="U104" s="24"/>
      <c r="V104" s="24"/>
      <c r="W104" s="24"/>
      <c r="X104" s="24"/>
      <c r="Y104" s="24"/>
      <c r="Z104" s="24"/>
      <c r="AA104" s="317"/>
      <c r="AB104" s="26"/>
    </row>
    <row r="105" spans="1:28" ht="18" hidden="1">
      <c r="A105" s="43"/>
      <c r="B105" s="42"/>
      <c r="C105" s="42"/>
      <c r="D105" s="42"/>
      <c r="E105" s="42"/>
      <c r="F105" s="42"/>
      <c r="G105" s="42"/>
      <c r="H105" s="647"/>
      <c r="I105" s="42"/>
      <c r="J105" s="42"/>
      <c r="K105" s="42"/>
      <c r="L105" s="42"/>
      <c r="M105" s="42"/>
      <c r="N105" s="42"/>
      <c r="O105" s="320"/>
      <c r="P105" s="320"/>
      <c r="Q105" s="319"/>
      <c r="R105" s="24"/>
      <c r="S105" s="24"/>
      <c r="T105" s="24"/>
      <c r="U105" s="24"/>
      <c r="V105" s="24"/>
      <c r="W105" s="24"/>
      <c r="X105" s="24"/>
      <c r="Y105" s="24"/>
      <c r="Z105" s="24"/>
      <c r="AA105" s="317"/>
      <c r="AB105" s="26"/>
    </row>
    <row r="106" spans="1:28" ht="18" hidden="1">
      <c r="A106" s="43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320"/>
      <c r="P106" s="320"/>
      <c r="Q106" s="319"/>
      <c r="R106" s="24"/>
      <c r="S106" s="24"/>
      <c r="T106" s="24"/>
      <c r="U106" s="24"/>
      <c r="V106" s="24"/>
      <c r="W106" s="24"/>
      <c r="X106" s="24"/>
      <c r="Y106" s="24"/>
      <c r="Z106" s="24"/>
      <c r="AA106" s="317"/>
      <c r="AB106" s="26"/>
    </row>
    <row r="107" spans="1:28" ht="18" hidden="1">
      <c r="A107" s="43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320"/>
      <c r="P107" s="320"/>
      <c r="Q107" s="319"/>
      <c r="R107" s="24"/>
      <c r="S107" s="24"/>
      <c r="T107" s="24"/>
      <c r="U107" s="24"/>
      <c r="V107" s="24"/>
      <c r="W107" s="24"/>
      <c r="X107" s="24"/>
      <c r="Y107" s="24"/>
      <c r="Z107" s="24"/>
      <c r="AA107" s="317"/>
      <c r="AB107" s="26"/>
    </row>
    <row r="108" spans="1:28" ht="18" hidden="1">
      <c r="A108" s="43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320"/>
      <c r="P108" s="320"/>
      <c r="Q108" s="319"/>
      <c r="R108" s="24"/>
      <c r="S108" s="24"/>
      <c r="T108" s="24"/>
      <c r="U108" s="24"/>
      <c r="V108" s="24"/>
      <c r="W108" s="24"/>
      <c r="X108" s="24"/>
      <c r="Y108" s="24"/>
      <c r="Z108" s="24"/>
      <c r="AA108" s="317"/>
      <c r="AB108" s="26"/>
    </row>
    <row r="109" spans="1:28" ht="18" hidden="1">
      <c r="A109" s="43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320"/>
      <c r="P109" s="320"/>
      <c r="Q109" s="319"/>
      <c r="R109" s="24"/>
      <c r="S109" s="24"/>
      <c r="T109" s="24"/>
      <c r="U109" s="24"/>
      <c r="V109" s="24"/>
      <c r="W109" s="24"/>
      <c r="X109" s="24"/>
      <c r="Y109" s="24"/>
      <c r="Z109" s="24"/>
      <c r="AA109" s="317"/>
      <c r="AB109" s="26"/>
    </row>
    <row r="110" spans="1:28" ht="18" hidden="1">
      <c r="A110" s="43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320"/>
      <c r="P110" s="320"/>
      <c r="Q110" s="319"/>
      <c r="R110" s="24"/>
      <c r="S110" s="24"/>
      <c r="T110" s="24"/>
      <c r="U110" s="24"/>
      <c r="V110" s="24"/>
      <c r="W110" s="24"/>
      <c r="X110" s="24"/>
      <c r="Y110" s="24"/>
      <c r="Z110" s="24"/>
      <c r="AA110" s="317"/>
      <c r="AB110" s="26"/>
    </row>
    <row r="111" spans="1:28" ht="18" hidden="1">
      <c r="A111" s="43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320"/>
      <c r="P111" s="320"/>
      <c r="Q111" s="319"/>
      <c r="R111" s="24"/>
      <c r="S111" s="24"/>
      <c r="T111" s="24"/>
      <c r="U111" s="24"/>
      <c r="V111" s="24"/>
      <c r="W111" s="24"/>
      <c r="X111" s="24"/>
      <c r="Y111" s="24"/>
      <c r="Z111" s="24"/>
      <c r="AA111" s="317"/>
      <c r="AB111" s="26"/>
    </row>
    <row r="112" spans="1:28" ht="18" hidden="1">
      <c r="A112" s="43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320"/>
      <c r="P112" s="320"/>
      <c r="Q112" s="319"/>
      <c r="R112" s="24"/>
      <c r="S112" s="24"/>
      <c r="T112" s="24"/>
      <c r="U112" s="24"/>
      <c r="V112" s="24"/>
      <c r="W112" s="24"/>
      <c r="X112" s="24"/>
      <c r="Y112" s="24"/>
      <c r="Z112" s="24"/>
      <c r="AA112" s="317"/>
      <c r="AB112" s="26"/>
    </row>
    <row r="113" spans="1:28" ht="18" hidden="1">
      <c r="A113" s="43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320"/>
      <c r="P113" s="320"/>
      <c r="Q113" s="319"/>
      <c r="R113" s="24"/>
      <c r="S113" s="24"/>
      <c r="T113" s="24"/>
      <c r="U113" s="24"/>
      <c r="V113" s="24"/>
      <c r="W113" s="24"/>
      <c r="X113" s="24"/>
      <c r="Y113" s="24"/>
      <c r="Z113" s="24"/>
      <c r="AA113" s="317"/>
      <c r="AB113" s="26"/>
    </row>
    <row r="114" spans="1:28" ht="18" hidden="1">
      <c r="A114" s="43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320"/>
      <c r="P114" s="320"/>
      <c r="Q114" s="319"/>
      <c r="R114" s="24"/>
      <c r="S114" s="24"/>
      <c r="T114" s="24"/>
      <c r="U114" s="24"/>
      <c r="V114" s="24"/>
      <c r="W114" s="24"/>
      <c r="X114" s="24"/>
      <c r="Y114" s="24"/>
      <c r="Z114" s="24"/>
      <c r="AA114" s="317"/>
      <c r="AB114" s="26"/>
    </row>
    <row r="115" spans="1:28" ht="18.75" hidden="1" thickBot="1">
      <c r="A115" s="23"/>
      <c r="B115" s="28"/>
      <c r="C115" s="28"/>
      <c r="D115" s="28"/>
      <c r="E115" s="28"/>
      <c r="F115" s="28"/>
      <c r="G115" s="28"/>
      <c r="H115" s="650"/>
      <c r="I115" s="649"/>
      <c r="J115" s="649"/>
      <c r="K115" s="649"/>
      <c r="L115" s="649"/>
      <c r="M115" s="649"/>
      <c r="N115" s="649"/>
      <c r="O115" s="649"/>
      <c r="P115" s="650"/>
      <c r="Q115" s="648"/>
      <c r="R115" s="28"/>
      <c r="S115" s="28"/>
      <c r="T115" s="28"/>
      <c r="U115" s="28"/>
      <c r="V115" s="28"/>
      <c r="W115" s="28"/>
      <c r="X115" s="28"/>
      <c r="Y115" s="649"/>
      <c r="Z115" s="649"/>
      <c r="AA115" s="649"/>
      <c r="AB115" s="223"/>
    </row>
    <row r="116" spans="2:13" ht="12.75">
      <c r="B116" s="315"/>
      <c r="I116" s="315"/>
      <c r="J116" s="315"/>
      <c r="K116" s="315"/>
      <c r="L116" s="315"/>
      <c r="M116" s="315"/>
    </row>
    <row r="117" spans="2:13" ht="12.75">
      <c r="B117" s="315"/>
      <c r="C117" s="315"/>
      <c r="G117" s="315"/>
      <c r="J117" s="315"/>
      <c r="L117" s="315"/>
      <c r="M117" s="315"/>
    </row>
    <row r="118" spans="2:10" ht="12.75">
      <c r="B118" s="315"/>
      <c r="C118" s="315"/>
      <c r="G118" s="315"/>
      <c r="J118" s="315"/>
    </row>
    <row r="119" spans="2:7" ht="12.75">
      <c r="B119" s="315"/>
      <c r="G119" s="315"/>
    </row>
  </sheetData>
  <sheetProtection/>
  <mergeCells count="27">
    <mergeCell ref="A2:V2"/>
    <mergeCell ref="A3:V3"/>
    <mergeCell ref="A4:V4"/>
    <mergeCell ref="A7:A8"/>
    <mergeCell ref="B7:P7"/>
    <mergeCell ref="Q7:AB7"/>
    <mergeCell ref="B8:H8"/>
    <mergeCell ref="I8:P8"/>
    <mergeCell ref="Q8:U8"/>
    <mergeCell ref="A62:V62"/>
    <mergeCell ref="A64:A65"/>
    <mergeCell ref="B64:P64"/>
    <mergeCell ref="Q64:AB64"/>
    <mergeCell ref="B65:H65"/>
    <mergeCell ref="I65:P65"/>
    <mergeCell ref="Q65:U65"/>
    <mergeCell ref="V65:AB65"/>
    <mergeCell ref="Q1:Z1"/>
    <mergeCell ref="A90:V90"/>
    <mergeCell ref="A92:A93"/>
    <mergeCell ref="B92:P92"/>
    <mergeCell ref="Q92:AB92"/>
    <mergeCell ref="B93:H93"/>
    <mergeCell ref="I93:P93"/>
    <mergeCell ref="Q93:U93"/>
    <mergeCell ref="V93:AB93"/>
    <mergeCell ref="V8:AB8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6" r:id="rId1"/>
  <headerFooter alignWithMargins="0">
    <oddFooter>&amp;R
</oddFooter>
  </headerFooter>
  <colBreaks count="1" manualBreakCount="1">
    <brk id="29" max="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C25" sqref="C25"/>
    </sheetView>
  </sheetViews>
  <sheetFormatPr defaultColWidth="9.140625" defaultRowHeight="12.75"/>
  <cols>
    <col min="1" max="1" width="9.00390625" style="652" customWidth="1"/>
    <col min="2" max="2" width="58.57421875" style="653" customWidth="1"/>
    <col min="3" max="3" width="17.00390625" style="653" customWidth="1"/>
    <col min="4" max="7" width="14.7109375" style="652" customWidth="1"/>
    <col min="8" max="9" width="9.140625" style="652" customWidth="1"/>
    <col min="10" max="16384" width="9.140625" style="652" customWidth="1"/>
  </cols>
  <sheetData>
    <row r="1" spans="5:6" ht="15">
      <c r="E1" s="1306" t="s">
        <v>392</v>
      </c>
      <c r="F1" s="1306"/>
    </row>
    <row r="2" spans="1:7" ht="48.75" customHeight="1">
      <c r="A2" s="1307" t="s">
        <v>394</v>
      </c>
      <c r="B2" s="1307"/>
      <c r="C2" s="1307"/>
      <c r="D2" s="1307"/>
      <c r="E2" s="1307"/>
      <c r="F2" s="1307"/>
      <c r="G2" s="654"/>
    </row>
    <row r="3" spans="1:8" ht="15.75" customHeight="1" thickBot="1">
      <c r="A3" s="580"/>
      <c r="B3" s="655"/>
      <c r="C3" s="655"/>
      <c r="D3" s="580"/>
      <c r="E3" s="1308" t="s">
        <v>444</v>
      </c>
      <c r="F3" s="1308"/>
      <c r="H3" s="656"/>
    </row>
    <row r="4" spans="1:7" ht="63" customHeight="1">
      <c r="A4" s="1309" t="s">
        <v>246</v>
      </c>
      <c r="B4" s="1311" t="s">
        <v>395</v>
      </c>
      <c r="C4" s="1313" t="s">
        <v>396</v>
      </c>
      <c r="D4" s="1314"/>
      <c r="E4" s="1314"/>
      <c r="F4" s="1315"/>
      <c r="G4" s="657"/>
    </row>
    <row r="5" spans="1:6" ht="16.5" thickBot="1">
      <c r="A5" s="1310"/>
      <c r="B5" s="1312"/>
      <c r="C5" s="658">
        <v>2019</v>
      </c>
      <c r="D5" s="658">
        <v>2020</v>
      </c>
      <c r="E5" s="658">
        <v>2021</v>
      </c>
      <c r="F5" s="658">
        <v>2022</v>
      </c>
    </row>
    <row r="6" spans="1:6" ht="16.5" thickBot="1">
      <c r="A6" s="585">
        <v>1</v>
      </c>
      <c r="B6" s="659">
        <v>2</v>
      </c>
      <c r="C6" s="659">
        <v>3</v>
      </c>
      <c r="D6" s="586">
        <v>4</v>
      </c>
      <c r="E6" s="586">
        <v>5</v>
      </c>
      <c r="F6" s="587">
        <v>6</v>
      </c>
    </row>
    <row r="7" spans="1:9" ht="16.5" thickBot="1">
      <c r="A7" s="588" t="s">
        <v>26</v>
      </c>
      <c r="B7" s="46" t="s">
        <v>447</v>
      </c>
      <c r="C7" s="643">
        <f>2267801+'8.sz.m.Dologi kiadás (3)'!H18</f>
        <v>2280633</v>
      </c>
      <c r="D7" s="643"/>
      <c r="E7" s="643"/>
      <c r="F7" s="660"/>
      <c r="I7" s="709"/>
    </row>
    <row r="8" spans="1:6" ht="27" customHeight="1" hidden="1">
      <c r="A8" s="593" t="s">
        <v>27</v>
      </c>
      <c r="B8" s="47"/>
      <c r="C8" s="47"/>
      <c r="D8" s="38"/>
      <c r="E8" s="661"/>
      <c r="F8" s="662"/>
    </row>
    <row r="9" spans="1:6" ht="27" customHeight="1" hidden="1">
      <c r="A9" s="593" t="s">
        <v>9</v>
      </c>
      <c r="B9" s="45"/>
      <c r="C9" s="45"/>
      <c r="D9" s="38"/>
      <c r="E9" s="661"/>
      <c r="F9" s="662"/>
    </row>
    <row r="10" spans="1:6" ht="27" customHeight="1" hidden="1">
      <c r="A10" s="593" t="s">
        <v>10</v>
      </c>
      <c r="B10" s="44"/>
      <c r="C10" s="44"/>
      <c r="D10" s="38"/>
      <c r="E10" s="661"/>
      <c r="F10" s="662"/>
    </row>
    <row r="11" spans="1:6" ht="27" customHeight="1" hidden="1">
      <c r="A11" s="593" t="s">
        <v>11</v>
      </c>
      <c r="B11" s="45"/>
      <c r="C11" s="45"/>
      <c r="D11" s="38"/>
      <c r="E11" s="661"/>
      <c r="F11" s="662"/>
    </row>
    <row r="12" spans="1:6" ht="27" customHeight="1" hidden="1">
      <c r="A12" s="593" t="s">
        <v>12</v>
      </c>
      <c r="B12" s="44"/>
      <c r="C12" s="44"/>
      <c r="D12" s="38"/>
      <c r="E12" s="661"/>
      <c r="F12" s="662"/>
    </row>
    <row r="13" spans="1:6" ht="27" customHeight="1" hidden="1">
      <c r="A13" s="593" t="s">
        <v>13</v>
      </c>
      <c r="B13" s="44"/>
      <c r="C13" s="44"/>
      <c r="D13" s="38"/>
      <c r="E13" s="661"/>
      <c r="F13" s="662"/>
    </row>
    <row r="14" spans="1:6" ht="27" customHeight="1" hidden="1">
      <c r="A14" s="593" t="s">
        <v>56</v>
      </c>
      <c r="B14" s="44"/>
      <c r="C14" s="44"/>
      <c r="D14" s="38"/>
      <c r="E14" s="661"/>
      <c r="F14" s="662"/>
    </row>
    <row r="15" spans="1:6" ht="27" customHeight="1" hidden="1">
      <c r="A15" s="593" t="s">
        <v>57</v>
      </c>
      <c r="B15" s="44"/>
      <c r="C15" s="44"/>
      <c r="D15" s="38"/>
      <c r="E15" s="661"/>
      <c r="F15" s="662"/>
    </row>
    <row r="16" spans="1:6" ht="27" customHeight="1" hidden="1">
      <c r="A16" s="593" t="s">
        <v>397</v>
      </c>
      <c r="B16" s="44"/>
      <c r="C16" s="44"/>
      <c r="D16" s="38"/>
      <c r="E16" s="661"/>
      <c r="F16" s="662"/>
    </row>
    <row r="17" spans="1:6" ht="27" customHeight="1" hidden="1">
      <c r="A17" s="663"/>
      <c r="B17" s="664"/>
      <c r="C17" s="664"/>
      <c r="D17" s="665"/>
      <c r="E17" s="665"/>
      <c r="F17" s="666"/>
    </row>
    <row r="18" spans="1:6" ht="27" customHeight="1" hidden="1">
      <c r="A18" s="663"/>
      <c r="B18" s="664"/>
      <c r="C18" s="664"/>
      <c r="D18" s="665"/>
      <c r="E18" s="665"/>
      <c r="F18" s="666"/>
    </row>
    <row r="19" spans="1:6" ht="27" customHeight="1" hidden="1">
      <c r="A19" s="663"/>
      <c r="B19" s="664"/>
      <c r="C19" s="664"/>
      <c r="D19" s="665"/>
      <c r="E19" s="665"/>
      <c r="F19" s="666"/>
    </row>
    <row r="20" spans="1:6" ht="27" customHeight="1" hidden="1">
      <c r="A20" s="663"/>
      <c r="B20" s="664"/>
      <c r="C20" s="664"/>
      <c r="D20" s="665"/>
      <c r="E20" s="665"/>
      <c r="F20" s="666"/>
    </row>
    <row r="21" spans="1:6" ht="27" customHeight="1" hidden="1">
      <c r="A21" s="663"/>
      <c r="B21" s="664"/>
      <c r="C21" s="664"/>
      <c r="D21" s="665"/>
      <c r="E21" s="665"/>
      <c r="F21" s="666"/>
    </row>
    <row r="22" spans="1:6" ht="27" customHeight="1" hidden="1">
      <c r="A22" s="663"/>
      <c r="B22" s="664"/>
      <c r="C22" s="664"/>
      <c r="D22" s="665"/>
      <c r="E22" s="665"/>
      <c r="F22" s="666"/>
    </row>
    <row r="23" spans="1:6" ht="27" customHeight="1" hidden="1">
      <c r="A23" s="663"/>
      <c r="B23" s="664"/>
      <c r="C23" s="664"/>
      <c r="D23" s="665"/>
      <c r="E23" s="665"/>
      <c r="F23" s="666"/>
    </row>
    <row r="24" spans="1:6" ht="32.25" customHeight="1" hidden="1" thickBot="1">
      <c r="A24" s="663" t="s">
        <v>11</v>
      </c>
      <c r="B24" s="664"/>
      <c r="C24" s="664"/>
      <c r="D24" s="665"/>
      <c r="E24" s="665"/>
      <c r="F24" s="666"/>
    </row>
    <row r="25" spans="1:7" ht="27" customHeight="1" thickBot="1">
      <c r="A25" s="585">
        <v>2</v>
      </c>
      <c r="B25" s="667" t="s">
        <v>398</v>
      </c>
      <c r="C25" s="668">
        <f>SUM(C7:C24)</f>
        <v>2280633</v>
      </c>
      <c r="D25" s="668">
        <f>SUM(D7:D24)</f>
        <v>0</v>
      </c>
      <c r="E25" s="668">
        <f>SUM(E7:E24)</f>
        <v>0</v>
      </c>
      <c r="F25" s="669">
        <f>SUM(F7:F24)</f>
        <v>0</v>
      </c>
      <c r="G25" s="710"/>
    </row>
    <row r="27" spans="1:6" ht="15">
      <c r="A27" s="1305"/>
      <c r="B27" s="1305"/>
      <c r="C27" s="1305"/>
      <c r="D27" s="1305"/>
      <c r="E27" s="1305"/>
      <c r="F27" s="1305"/>
    </row>
    <row r="28" spans="2:3" ht="15.75">
      <c r="B28" s="670"/>
      <c r="C28" s="670"/>
    </row>
  </sheetData>
  <sheetProtection/>
  <mergeCells count="7">
    <mergeCell ref="A27:F27"/>
    <mergeCell ref="E1:F1"/>
    <mergeCell ref="A2:F2"/>
    <mergeCell ref="E3:F3"/>
    <mergeCell ref="A4:A5"/>
    <mergeCell ref="B4:B5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4">
      <selection activeCell="U8" sqref="U8"/>
    </sheetView>
  </sheetViews>
  <sheetFormatPr defaultColWidth="9.140625" defaultRowHeight="12.75"/>
  <cols>
    <col min="1" max="1" width="8.140625" style="579" customWidth="1"/>
    <col min="2" max="2" width="64.00390625" style="579" customWidth="1"/>
    <col min="3" max="3" width="19.8515625" style="579" customWidth="1"/>
    <col min="4" max="5" width="16.7109375" style="579" customWidth="1"/>
    <col min="6" max="7" width="15.00390625" style="579" customWidth="1"/>
    <col min="8" max="12" width="15.00390625" style="579" hidden="1" customWidth="1"/>
    <col min="13" max="13" width="15.00390625" style="579" customWidth="1"/>
    <col min="14" max="16384" width="9.140625" style="579" customWidth="1"/>
  </cols>
  <sheetData>
    <row r="1" spans="3:7" ht="15">
      <c r="C1" s="1321" t="s">
        <v>602</v>
      </c>
      <c r="D1" s="1321"/>
      <c r="E1" s="1321"/>
      <c r="F1" s="1321"/>
      <c r="G1" s="1321"/>
    </row>
    <row r="2" spans="1:7" ht="47.25" customHeight="1">
      <c r="A2" s="1320" t="s">
        <v>385</v>
      </c>
      <c r="B2" s="1320"/>
      <c r="C2" s="1320"/>
      <c r="D2" s="1320"/>
      <c r="E2" s="1320"/>
      <c r="F2" s="1320"/>
      <c r="G2" s="1320"/>
    </row>
    <row r="3" spans="1:6" ht="15.75" customHeight="1" thickBot="1">
      <c r="A3" s="580"/>
      <c r="B3" s="580"/>
      <c r="C3" s="1319" t="s">
        <v>444</v>
      </c>
      <c r="D3" s="1319"/>
      <c r="E3" s="1319"/>
      <c r="F3" s="581"/>
    </row>
    <row r="4" spans="1:12" ht="44.25" customHeight="1" thickBot="1">
      <c r="A4" s="582" t="s">
        <v>246</v>
      </c>
      <c r="B4" s="583" t="s">
        <v>386</v>
      </c>
      <c r="C4" s="584" t="s">
        <v>643</v>
      </c>
      <c r="D4" s="584" t="s">
        <v>226</v>
      </c>
      <c r="E4" s="584" t="s">
        <v>229</v>
      </c>
      <c r="F4" s="584" t="s">
        <v>231</v>
      </c>
      <c r="G4" s="584" t="s">
        <v>243</v>
      </c>
      <c r="H4" s="584" t="s">
        <v>248</v>
      </c>
      <c r="I4" s="584" t="s">
        <v>232</v>
      </c>
      <c r="J4" s="584" t="s">
        <v>436</v>
      </c>
      <c r="K4" s="584" t="s">
        <v>440</v>
      </c>
      <c r="L4" s="584" t="s">
        <v>433</v>
      </c>
    </row>
    <row r="5" spans="1:12" ht="26.25" customHeight="1" thickBot="1">
      <c r="A5" s="585">
        <v>1</v>
      </c>
      <c r="B5" s="586">
        <v>2</v>
      </c>
      <c r="C5" s="587">
        <v>3</v>
      </c>
      <c r="D5" s="587">
        <v>4</v>
      </c>
      <c r="E5" s="587">
        <v>5</v>
      </c>
      <c r="F5" s="587">
        <v>6</v>
      </c>
      <c r="G5" s="587">
        <v>7</v>
      </c>
      <c r="H5" s="587">
        <v>8</v>
      </c>
      <c r="I5" s="587">
        <v>5</v>
      </c>
      <c r="J5" s="587">
        <v>6</v>
      </c>
      <c r="K5" s="587">
        <v>7</v>
      </c>
      <c r="L5" s="587">
        <v>7</v>
      </c>
    </row>
    <row r="6" spans="1:12" ht="31.5" customHeight="1">
      <c r="A6" s="588" t="s">
        <v>26</v>
      </c>
      <c r="B6" s="589" t="s">
        <v>282</v>
      </c>
      <c r="C6" s="590">
        <f>'1.sz.m-önk.össze.bev'!E8</f>
        <v>19500000</v>
      </c>
      <c r="D6" s="590">
        <f>'1.sz.m-önk.össze.bev'!F8</f>
        <v>19500000</v>
      </c>
      <c r="E6" s="590">
        <f>'1.sz.m-önk.össze.bev'!G8</f>
        <v>19500000</v>
      </c>
      <c r="F6" s="590">
        <f>'1.sz.m-önk.össze.bev'!H8</f>
        <v>19500000</v>
      </c>
      <c r="G6" s="590">
        <f>'1.sz.m-önk.össze.bev'!I8</f>
        <v>19003963</v>
      </c>
      <c r="H6" s="590">
        <f>'1.sz.m-önk.össze.bev'!J8</f>
        <v>0</v>
      </c>
      <c r="I6" s="590">
        <f>'1.sz.m-önk.össze.bev'!K8</f>
        <v>19500000</v>
      </c>
      <c r="J6" s="590">
        <f>'1.sz.m-önk.össze.bev'!L8</f>
        <v>19500000</v>
      </c>
      <c r="K6" s="590">
        <f>'1.sz.m-önk.össze.bev'!M8</f>
        <v>19500000</v>
      </c>
      <c r="L6" s="590">
        <f>'1.sz.m-önk.össze.bev'!N8</f>
        <v>19500000</v>
      </c>
    </row>
    <row r="7" spans="1:12" ht="26.25" customHeight="1">
      <c r="A7" s="591" t="s">
        <v>27</v>
      </c>
      <c r="B7" s="589" t="s">
        <v>387</v>
      </c>
      <c r="C7" s="592">
        <f>'1.sz.m-önk.össze.bev'!E13</f>
        <v>160000000</v>
      </c>
      <c r="D7" s="592">
        <f>'1.sz.m-önk.össze.bev'!F13</f>
        <v>160000000</v>
      </c>
      <c r="E7" s="592">
        <f>'1.sz.m-önk.össze.bev'!G13</f>
        <v>160000000</v>
      </c>
      <c r="F7" s="592">
        <f>'1.sz.m-önk.össze.bev'!H13</f>
        <v>160000000</v>
      </c>
      <c r="G7" s="592">
        <f>'1.sz.m-önk.össze.bev'!I13</f>
        <v>194946510</v>
      </c>
      <c r="H7" s="592">
        <f>'1.sz.m-önk.össze.bev'!J13</f>
        <v>0</v>
      </c>
      <c r="I7" s="592">
        <f>'1.sz.m-önk.össze.bev'!K13</f>
        <v>130713226</v>
      </c>
      <c r="J7" s="592">
        <f>'1.sz.m-önk.össze.bev'!L13</f>
        <v>130713226</v>
      </c>
      <c r="K7" s="592">
        <f>'1.sz.m-önk.össze.bev'!M13</f>
        <v>130503226</v>
      </c>
      <c r="L7" s="592">
        <f>'1.sz.m-önk.össze.bev'!N13</f>
        <v>128773226</v>
      </c>
    </row>
    <row r="8" spans="1:12" ht="33.75" customHeight="1">
      <c r="A8" s="593" t="s">
        <v>9</v>
      </c>
      <c r="B8" s="594" t="s">
        <v>388</v>
      </c>
      <c r="C8" s="595">
        <f>'1.sz.m-önk.össze.bev'!E17</f>
        <v>0</v>
      </c>
      <c r="D8" s="595">
        <f>'1.sz.m-önk.össze.bev'!F17</f>
        <v>0</v>
      </c>
      <c r="E8" s="595">
        <f>'1.sz.m-önk.össze.bev'!G17</f>
        <v>0</v>
      </c>
      <c r="F8" s="595">
        <f>'1.sz.m-önk.össze.bev'!H17</f>
        <v>0</v>
      </c>
      <c r="G8" s="595">
        <f>'1.sz.m-önk.össze.bev'!I17</f>
        <v>0</v>
      </c>
      <c r="H8" s="595">
        <f>'1.sz.m-önk.össze.bev'!J17</f>
        <v>0</v>
      </c>
      <c r="I8" s="595">
        <f>'1.sz.m-önk.össze.bev'!K17</f>
        <v>0</v>
      </c>
      <c r="J8" s="595">
        <f>'1.sz.m-önk.össze.bev'!L17</f>
        <v>0</v>
      </c>
      <c r="K8" s="595">
        <f>'1.sz.m-önk.össze.bev'!M17</f>
        <v>0</v>
      </c>
      <c r="L8" s="595">
        <f>'1.sz.m-önk.össze.bev'!N17</f>
        <v>0</v>
      </c>
    </row>
    <row r="9" spans="1:12" ht="33" customHeight="1">
      <c r="A9" s="591" t="s">
        <v>10</v>
      </c>
      <c r="B9" s="596" t="s">
        <v>297</v>
      </c>
      <c r="C9" s="595">
        <f>'1.sz.m-önk.össze.bev'!E20</f>
        <v>1060000</v>
      </c>
      <c r="D9" s="595">
        <f>'1.sz.m-önk.össze.bev'!F20</f>
        <v>1272400</v>
      </c>
      <c r="E9" s="595">
        <f>'1.sz.m-önk.össze.bev'!G20</f>
        <v>1272400</v>
      </c>
      <c r="F9" s="595">
        <f>'1.sz.m-önk.össze.bev'!H20</f>
        <v>1272400</v>
      </c>
      <c r="G9" s="595">
        <f>'1.sz.m-önk.össze.bev'!I20</f>
        <v>3208713</v>
      </c>
      <c r="H9" s="595">
        <f>'1.sz.m-önk.össze.bev'!J20</f>
        <v>0</v>
      </c>
      <c r="I9" s="595">
        <f>'1.sz.m-önk.össze.bev'!K20</f>
        <v>1060000</v>
      </c>
      <c r="J9" s="595">
        <f>'1.sz.m-önk.össze.bev'!L20</f>
        <v>1272400</v>
      </c>
      <c r="K9" s="595">
        <f>'1.sz.m-önk.össze.bev'!M20</f>
        <v>1272400</v>
      </c>
      <c r="L9" s="595">
        <f>'1.sz.m-önk.össze.bev'!N20</f>
        <v>1272400</v>
      </c>
    </row>
    <row r="10" spans="1:12" ht="26.25" customHeight="1">
      <c r="A10" s="593" t="s">
        <v>11</v>
      </c>
      <c r="B10" s="596" t="s">
        <v>389</v>
      </c>
      <c r="C10" s="597">
        <f>'1.sz.m-önk.össze.bev'!E25</f>
        <v>1083712</v>
      </c>
      <c r="D10" s="597">
        <f>'1.sz.m-önk.össze.bev'!F25</f>
        <v>1083712</v>
      </c>
      <c r="E10" s="597">
        <f>'1.sz.m-önk.össze.bev'!G25</f>
        <v>1083712</v>
      </c>
      <c r="F10" s="597">
        <f>'1.sz.m-önk.össze.bev'!H25</f>
        <v>1864426</v>
      </c>
      <c r="G10" s="597">
        <f>'1.sz.m-önk.össze.bev'!I25</f>
        <v>1043112</v>
      </c>
      <c r="H10" s="597">
        <f>'1.sz.m-önk.össze.bev'!J25</f>
        <v>0</v>
      </c>
      <c r="I10" s="597">
        <f>'1.sz.m-önk.össze.bev'!K25</f>
        <v>1083712</v>
      </c>
      <c r="J10" s="597">
        <f>'1.sz.m-önk.össze.bev'!L25</f>
        <v>1083712</v>
      </c>
      <c r="K10" s="597">
        <f>'1.sz.m-önk.össze.bev'!M25</f>
        <v>1083712</v>
      </c>
      <c r="L10" s="597">
        <f>'1.sz.m-önk.össze.bev'!N25</f>
        <v>1864426</v>
      </c>
    </row>
    <row r="11" spans="1:12" ht="26.25" customHeight="1" thickBot="1">
      <c r="A11" s="593" t="s">
        <v>12</v>
      </c>
      <c r="B11" s="596" t="s">
        <v>502</v>
      </c>
      <c r="C11" s="595">
        <f>'1.sz.m-önk.össze.bev'!E55</f>
        <v>0</v>
      </c>
      <c r="D11" s="595">
        <f>'1.sz.m-önk.össze.bev'!F55</f>
        <v>0</v>
      </c>
      <c r="E11" s="595">
        <f>'1.sz.m-önk.össze.bev'!G55</f>
        <v>0</v>
      </c>
      <c r="F11" s="595">
        <f>'1.sz.m-önk.össze.bev'!H55</f>
        <v>0</v>
      </c>
      <c r="G11" s="595">
        <f>'1.sz.m-önk.össze.bev'!I55</f>
        <v>472441</v>
      </c>
      <c r="H11" s="595">
        <f>'1.sz.m-önk.össze.bev'!J55</f>
        <v>0</v>
      </c>
      <c r="I11" s="595">
        <f>'1.sz.m-önk.össze.bev'!K55</f>
        <v>0</v>
      </c>
      <c r="J11" s="595">
        <f>'1.sz.m-önk.össze.bev'!L55</f>
        <v>0</v>
      </c>
      <c r="K11" s="595">
        <f>'1.sz.m-önk.össze.bev'!M55</f>
        <v>0</v>
      </c>
      <c r="L11" s="595">
        <f>'1.sz.m-önk.össze.bev'!N55</f>
        <v>0</v>
      </c>
    </row>
    <row r="12" spans="1:12" ht="26.25" customHeight="1" thickBot="1">
      <c r="A12" s="1316" t="s">
        <v>390</v>
      </c>
      <c r="B12" s="1317"/>
      <c r="C12" s="598">
        <f aca="true" t="shared" si="0" ref="C12:L12">SUM(C6:C11)</f>
        <v>181643712</v>
      </c>
      <c r="D12" s="598">
        <f>SUM(D6:D11)</f>
        <v>181856112</v>
      </c>
      <c r="E12" s="598">
        <f>SUM(E6:E11)</f>
        <v>181856112</v>
      </c>
      <c r="F12" s="598">
        <f>SUM(F6:F11)</f>
        <v>182636826</v>
      </c>
      <c r="G12" s="598">
        <f t="shared" si="0"/>
        <v>218674739</v>
      </c>
      <c r="H12" s="598">
        <f t="shared" si="0"/>
        <v>0</v>
      </c>
      <c r="I12" s="598">
        <f t="shared" si="0"/>
        <v>152356938</v>
      </c>
      <c r="J12" s="598">
        <f t="shared" si="0"/>
        <v>152569338</v>
      </c>
      <c r="K12" s="598">
        <f t="shared" si="0"/>
        <v>152359338</v>
      </c>
      <c r="L12" s="598">
        <f t="shared" si="0"/>
        <v>151410052</v>
      </c>
    </row>
    <row r="13" spans="1:5" ht="23.25" customHeight="1">
      <c r="A13" s="1318"/>
      <c r="B13" s="1318"/>
      <c r="C13" s="1318"/>
      <c r="D13" s="599"/>
      <c r="E13" s="599"/>
    </row>
  </sheetData>
  <sheetProtection/>
  <mergeCells count="5">
    <mergeCell ref="A12:B12"/>
    <mergeCell ref="A13:C13"/>
    <mergeCell ref="C3:E3"/>
    <mergeCell ref="A2:G2"/>
    <mergeCell ref="C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7">
      <selection activeCell="R9" sqref="R9"/>
    </sheetView>
  </sheetViews>
  <sheetFormatPr defaultColWidth="9.140625" defaultRowHeight="12.75"/>
  <cols>
    <col min="1" max="1" width="5.57421875" style="671" customWidth="1"/>
    <col min="2" max="2" width="24.7109375" style="672" customWidth="1"/>
    <col min="3" max="3" width="9.57421875" style="673" bestFit="1" customWidth="1"/>
    <col min="4" max="4" width="11.421875" style="673" customWidth="1"/>
    <col min="5" max="13" width="9.57421875" style="673" bestFit="1" customWidth="1"/>
    <col min="14" max="14" width="9.28125" style="673" customWidth="1"/>
    <col min="15" max="15" width="13.00390625" style="671" customWidth="1"/>
    <col min="16" max="16" width="15.8515625" style="673" customWidth="1"/>
    <col min="17" max="17" width="13.28125" style="673" customWidth="1"/>
    <col min="18" max="18" width="12.421875" style="673" bestFit="1" customWidth="1"/>
    <col min="19" max="19" width="12.57421875" style="673" customWidth="1"/>
    <col min="20" max="16384" width="9.140625" style="673" customWidth="1"/>
  </cols>
  <sheetData>
    <row r="1" spans="7:15" ht="15.75">
      <c r="G1" s="1111" t="s">
        <v>600</v>
      </c>
      <c r="H1" s="1111"/>
      <c r="I1" s="1111"/>
      <c r="J1" s="1111"/>
      <c r="K1" s="1111"/>
      <c r="L1" s="1111"/>
      <c r="M1" s="1111"/>
      <c r="N1" s="1111"/>
      <c r="O1" s="1111"/>
    </row>
    <row r="2" spans="1:15" ht="31.5" customHeight="1">
      <c r="A2" s="1106" t="s">
        <v>644</v>
      </c>
      <c r="B2" s="1107"/>
      <c r="C2" s="1107"/>
      <c r="D2" s="1107"/>
      <c r="E2" s="1107"/>
      <c r="F2" s="1107"/>
      <c r="G2" s="1107"/>
      <c r="H2" s="1107"/>
      <c r="I2" s="1107"/>
      <c r="J2" s="1107"/>
      <c r="K2" s="1107"/>
      <c r="L2" s="1107"/>
      <c r="M2" s="1107"/>
      <c r="N2" s="1107"/>
      <c r="O2" s="1107"/>
    </row>
    <row r="3" ht="16.5" thickBot="1">
      <c r="O3" s="674" t="s">
        <v>449</v>
      </c>
    </row>
    <row r="4" spans="1:15" s="671" customFormat="1" ht="35.25" customHeight="1" thickBot="1">
      <c r="A4" s="675" t="s">
        <v>246</v>
      </c>
      <c r="B4" s="676" t="s">
        <v>3</v>
      </c>
      <c r="C4" s="677" t="s">
        <v>399</v>
      </c>
      <c r="D4" s="677" t="s">
        <v>400</v>
      </c>
      <c r="E4" s="677" t="s">
        <v>401</v>
      </c>
      <c r="F4" s="677" t="s">
        <v>402</v>
      </c>
      <c r="G4" s="677" t="s">
        <v>403</v>
      </c>
      <c r="H4" s="677" t="s">
        <v>404</v>
      </c>
      <c r="I4" s="677" t="s">
        <v>405</v>
      </c>
      <c r="J4" s="677" t="s">
        <v>406</v>
      </c>
      <c r="K4" s="677" t="s">
        <v>407</v>
      </c>
      <c r="L4" s="677" t="s">
        <v>408</v>
      </c>
      <c r="M4" s="677" t="s">
        <v>409</v>
      </c>
      <c r="N4" s="677" t="s">
        <v>410</v>
      </c>
      <c r="O4" s="678" t="s">
        <v>20</v>
      </c>
    </row>
    <row r="5" spans="1:15" s="680" customFormat="1" ht="15" customHeight="1" thickBot="1">
      <c r="A5" s="679" t="s">
        <v>26</v>
      </c>
      <c r="B5" s="1108" t="s">
        <v>108</v>
      </c>
      <c r="C5" s="1109"/>
      <c r="D5" s="1109"/>
      <c r="E5" s="1109"/>
      <c r="F5" s="1109"/>
      <c r="G5" s="1109"/>
      <c r="H5" s="1109"/>
      <c r="I5" s="1109"/>
      <c r="J5" s="1109"/>
      <c r="K5" s="1109"/>
      <c r="L5" s="1109"/>
      <c r="M5" s="1109"/>
      <c r="N5" s="1109"/>
      <c r="O5" s="1110"/>
    </row>
    <row r="6" spans="1:15" s="680" customFormat="1" ht="15" customHeight="1">
      <c r="A6" s="681" t="s">
        <v>27</v>
      </c>
      <c r="B6" s="682" t="s">
        <v>411</v>
      </c>
      <c r="C6" s="683"/>
      <c r="D6" s="683"/>
      <c r="E6" s="683">
        <f>97230000+212400</f>
        <v>97442400</v>
      </c>
      <c r="F6" s="683"/>
      <c r="G6" s="683"/>
      <c r="H6" s="683"/>
      <c r="I6" s="683"/>
      <c r="J6" s="683"/>
      <c r="K6" s="683">
        <f>97230000+36460221</f>
        <v>133690221</v>
      </c>
      <c r="L6" s="683"/>
      <c r="M6" s="683"/>
      <c r="N6" s="683"/>
      <c r="O6" s="684">
        <f aca="true" t="shared" si="0" ref="O6:O12">SUM(C6:N6)</f>
        <v>231132621</v>
      </c>
    </row>
    <row r="7" spans="1:19" s="689" customFormat="1" ht="13.5" customHeight="1">
      <c r="A7" s="685" t="s">
        <v>9</v>
      </c>
      <c r="B7" s="686" t="s">
        <v>412</v>
      </c>
      <c r="C7" s="687">
        <f>6009421-1954745</f>
        <v>4054676</v>
      </c>
      <c r="D7" s="687">
        <f>6009421-1954745</f>
        <v>4054676</v>
      </c>
      <c r="E7" s="687">
        <f>6009421-1954745+1</f>
        <v>4054677</v>
      </c>
      <c r="F7" s="687">
        <v>6009422</v>
      </c>
      <c r="G7" s="687">
        <v>6009421</v>
      </c>
      <c r="H7" s="687">
        <f>6009421-3199729</f>
        <v>2809692</v>
      </c>
      <c r="I7" s="687">
        <v>6009421</v>
      </c>
      <c r="J7" s="687">
        <f>6009421+12819579</f>
        <v>18829000</v>
      </c>
      <c r="K7" s="687">
        <v>6009422</v>
      </c>
      <c r="L7" s="687">
        <v>6009421</v>
      </c>
      <c r="M7" s="687">
        <v>6009421</v>
      </c>
      <c r="N7" s="687">
        <f>6009421-4376042</f>
        <v>1633379</v>
      </c>
      <c r="O7" s="688">
        <f t="shared" si="0"/>
        <v>71492628</v>
      </c>
      <c r="Q7" s="680"/>
      <c r="S7" s="680"/>
    </row>
    <row r="8" spans="1:19" s="689" customFormat="1" ht="27" customHeight="1">
      <c r="A8" s="685" t="s">
        <v>10</v>
      </c>
      <c r="B8" s="690" t="s">
        <v>480</v>
      </c>
      <c r="C8" s="691">
        <f>28353459+1954745+15034</f>
        <v>30323238</v>
      </c>
      <c r="D8" s="691">
        <f>28353458+1954745+15034</f>
        <v>30323237</v>
      </c>
      <c r="E8" s="691">
        <f>28353459+1954745+15034-1</f>
        <v>30323237</v>
      </c>
      <c r="F8" s="691">
        <v>28353458</v>
      </c>
      <c r="G8" s="691">
        <v>28353459</v>
      </c>
      <c r="H8" s="691">
        <f>28353458+6419497</f>
        <v>34772955</v>
      </c>
      <c r="I8" s="691">
        <f>28353459+17237049</f>
        <v>45590508</v>
      </c>
      <c r="J8" s="691">
        <v>28353458</v>
      </c>
      <c r="K8" s="691">
        <v>28353459</v>
      </c>
      <c r="L8" s="691">
        <f>28353458+6598659</f>
        <v>34952117</v>
      </c>
      <c r="M8" s="691">
        <f>28353459+6598659</f>
        <v>34952118</v>
      </c>
      <c r="N8" s="691">
        <f>28353459+6598659</f>
        <v>34952118</v>
      </c>
      <c r="O8" s="688">
        <f t="shared" si="0"/>
        <v>389603362</v>
      </c>
      <c r="Q8" s="680"/>
      <c r="S8" s="680"/>
    </row>
    <row r="9" spans="1:19" s="689" customFormat="1" ht="21.75" customHeight="1">
      <c r="A9" s="685" t="s">
        <v>11</v>
      </c>
      <c r="B9" s="690" t="s">
        <v>413</v>
      </c>
      <c r="C9" s="691"/>
      <c r="D9" s="691"/>
      <c r="E9" s="691"/>
      <c r="F9" s="691"/>
      <c r="G9" s="691"/>
      <c r="H9" s="691"/>
      <c r="I9" s="691">
        <v>91184000</v>
      </c>
      <c r="J9" s="691"/>
      <c r="K9" s="691"/>
      <c r="L9" s="691">
        <v>20360661</v>
      </c>
      <c r="M9" s="691"/>
      <c r="N9" s="691">
        <v>34829311</v>
      </c>
      <c r="O9" s="688">
        <f t="shared" si="0"/>
        <v>146373972</v>
      </c>
      <c r="Q9" s="680"/>
      <c r="S9" s="680"/>
    </row>
    <row r="10" spans="1:17" s="689" customFormat="1" ht="23.25" customHeight="1">
      <c r="A10" s="685" t="s">
        <v>11</v>
      </c>
      <c r="B10" s="686" t="s">
        <v>414</v>
      </c>
      <c r="C10" s="687"/>
      <c r="D10" s="687"/>
      <c r="E10" s="687">
        <f>15000+15000+45000</f>
        <v>75000</v>
      </c>
      <c r="F10" s="687"/>
      <c r="G10" s="687"/>
      <c r="H10" s="687">
        <v>15000</v>
      </c>
      <c r="I10" s="687"/>
      <c r="J10" s="687"/>
      <c r="K10" s="687">
        <f>15000+140000</f>
        <v>155000</v>
      </c>
      <c r="L10" s="687"/>
      <c r="M10" s="687"/>
      <c r="N10" s="687">
        <v>15000</v>
      </c>
      <c r="O10" s="688">
        <f t="shared" si="0"/>
        <v>260000</v>
      </c>
      <c r="Q10" s="680"/>
    </row>
    <row r="11" spans="1:17" s="689" customFormat="1" ht="23.25" customHeight="1">
      <c r="A11" s="685" t="s">
        <v>12</v>
      </c>
      <c r="B11" s="686" t="s">
        <v>415</v>
      </c>
      <c r="C11" s="687"/>
      <c r="D11" s="687"/>
      <c r="E11" s="687"/>
      <c r="F11" s="687"/>
      <c r="G11" s="687"/>
      <c r="H11" s="687"/>
      <c r="I11" s="687"/>
      <c r="J11" s="687"/>
      <c r="K11" s="687"/>
      <c r="L11" s="687"/>
      <c r="M11" s="687">
        <v>472441</v>
      </c>
      <c r="N11" s="687"/>
      <c r="O11" s="688">
        <f t="shared" si="0"/>
        <v>472441</v>
      </c>
      <c r="Q11" s="680"/>
    </row>
    <row r="12" spans="1:17" s="689" customFormat="1" ht="23.25" customHeight="1" thickBot="1">
      <c r="A12" s="685" t="s">
        <v>13</v>
      </c>
      <c r="B12" s="686" t="s">
        <v>416</v>
      </c>
      <c r="C12" s="687">
        <f>+'1.sz.m-önk.össze.bev'!E61</f>
        <v>192197217</v>
      </c>
      <c r="D12" s="687"/>
      <c r="E12" s="687"/>
      <c r="F12" s="687"/>
      <c r="G12" s="687"/>
      <c r="H12" s="687"/>
      <c r="I12" s="687"/>
      <c r="J12" s="687"/>
      <c r="K12" s="687"/>
      <c r="L12" s="687"/>
      <c r="M12" s="687"/>
      <c r="N12" s="687">
        <f>+'1.sz.m-önk.össze.bev'!I59</f>
        <v>10912646</v>
      </c>
      <c r="O12" s="688">
        <f t="shared" si="0"/>
        <v>203109863</v>
      </c>
      <c r="Q12" s="680"/>
    </row>
    <row r="13" spans="1:15" s="680" customFormat="1" ht="15.75" customHeight="1" thickBot="1">
      <c r="A13" s="685" t="s">
        <v>56</v>
      </c>
      <c r="B13" s="692" t="s">
        <v>417</v>
      </c>
      <c r="C13" s="693">
        <f aca="true" t="shared" si="1" ref="C13:O13">SUM(C6:C12)</f>
        <v>226575131</v>
      </c>
      <c r="D13" s="693">
        <f t="shared" si="1"/>
        <v>34377913</v>
      </c>
      <c r="E13" s="693">
        <f t="shared" si="1"/>
        <v>131895314</v>
      </c>
      <c r="F13" s="693">
        <f t="shared" si="1"/>
        <v>34362880</v>
      </c>
      <c r="G13" s="693">
        <f t="shared" si="1"/>
        <v>34362880</v>
      </c>
      <c r="H13" s="693">
        <f t="shared" si="1"/>
        <v>37597647</v>
      </c>
      <c r="I13" s="693">
        <f t="shared" si="1"/>
        <v>142783929</v>
      </c>
      <c r="J13" s="693">
        <f t="shared" si="1"/>
        <v>47182458</v>
      </c>
      <c r="K13" s="693">
        <f t="shared" si="1"/>
        <v>168208102</v>
      </c>
      <c r="L13" s="693">
        <f t="shared" si="1"/>
        <v>61322199</v>
      </c>
      <c r="M13" s="693">
        <f t="shared" si="1"/>
        <v>41433980</v>
      </c>
      <c r="N13" s="693">
        <f t="shared" si="1"/>
        <v>82342454</v>
      </c>
      <c r="O13" s="694">
        <f t="shared" si="1"/>
        <v>1042444887</v>
      </c>
    </row>
    <row r="14" spans="1:15" s="680" customFormat="1" ht="15" customHeight="1" thickBot="1">
      <c r="A14" s="685" t="s">
        <v>57</v>
      </c>
      <c r="B14" s="1108" t="s">
        <v>135</v>
      </c>
      <c r="C14" s="1109"/>
      <c r="D14" s="1109"/>
      <c r="E14" s="1109"/>
      <c r="F14" s="1109"/>
      <c r="G14" s="1109"/>
      <c r="H14" s="1109"/>
      <c r="I14" s="1109"/>
      <c r="J14" s="1109"/>
      <c r="K14" s="1109"/>
      <c r="L14" s="1109"/>
      <c r="M14" s="1109"/>
      <c r="N14" s="1109"/>
      <c r="O14" s="1110"/>
    </row>
    <row r="15" spans="1:19" s="689" customFormat="1" ht="13.5" customHeight="1">
      <c r="A15" s="685" t="s">
        <v>397</v>
      </c>
      <c r="B15" s="690" t="s">
        <v>420</v>
      </c>
      <c r="C15" s="691">
        <v>49160924</v>
      </c>
      <c r="D15" s="691">
        <v>49160924</v>
      </c>
      <c r="E15" s="691">
        <v>49160923</v>
      </c>
      <c r="F15" s="691">
        <f>49160924+833534</f>
        <v>49994458</v>
      </c>
      <c r="G15" s="691">
        <f>49160924+833534</f>
        <v>49994458</v>
      </c>
      <c r="H15" s="691">
        <f>49160924+833534+14503872</f>
        <v>64498330</v>
      </c>
      <c r="I15" s="691">
        <f>49160923+833534</f>
        <v>49994457</v>
      </c>
      <c r="J15" s="691">
        <f>49160924+833534</f>
        <v>49994458</v>
      </c>
      <c r="K15" s="691">
        <f>49160924+833534</f>
        <v>49994458</v>
      </c>
      <c r="L15" s="691">
        <f>49160924+833534+9302100</f>
        <v>59296558</v>
      </c>
      <c r="M15" s="691">
        <f>49160924+833534</f>
        <v>49994458</v>
      </c>
      <c r="N15" s="691">
        <f>49160924+833534+4+115160617</f>
        <v>165155079</v>
      </c>
      <c r="O15" s="695">
        <f>SUM(C15:N15)</f>
        <v>736399485</v>
      </c>
      <c r="Q15" s="680"/>
      <c r="S15" s="680"/>
    </row>
    <row r="16" spans="1:17" s="689" customFormat="1" ht="27" customHeight="1">
      <c r="A16" s="685" t="s">
        <v>418</v>
      </c>
      <c r="B16" s="686" t="s">
        <v>422</v>
      </c>
      <c r="C16" s="687">
        <f>+'7.a.sz.m.fejlesztés (4)'!D5+'7.a.sz.m.fejlesztés (4)'!D11+'7.a.sz.m.fejlesztés (4)'!D37</f>
        <v>31820642</v>
      </c>
      <c r="D16" s="687">
        <f>1500000+15000000+'7.a.sz.m.fejlesztés (4)'!D45+89</f>
        <v>17135477</v>
      </c>
      <c r="E16" s="687">
        <f>+'7.a.sz.m.fejlesztés (4)'!D15+'7.a.sz.m.fejlesztés (4)'!D16+'7.a.sz.m.fejlesztés (4)'!D18+'7.a.sz.m.fejlesztés (4)'!D38+'7.a.sz.m.fejlesztés (4)'!D39+'7.a.sz.m.fejlesztés (4)'!D40-15000000</f>
        <v>25932053</v>
      </c>
      <c r="F16" s="687">
        <f>+'7.a.sz.m.fejlesztés (4)'!D13-1500000</f>
        <v>1622312</v>
      </c>
      <c r="G16" s="687">
        <f>+'7.a.sz.m.fejlesztés (4)'!D12+'7.a.sz.m.fejlesztés (4)'!D14+500000</f>
        <v>25439880</v>
      </c>
      <c r="H16" s="687">
        <f>+'7.a.sz.m.fejlesztés (4)'!D6+'7.a.sz.m.fejlesztés (4)'!D7+'7.a.sz.m.fejlesztés (4)'!D8+'7.a.sz.m.fejlesztés (4)'!D9+'7.a.sz.m.fejlesztés (4)'!D10++'7.a.sz.m.fejlesztés (4)'!D17+37500</f>
        <v>3052500</v>
      </c>
      <c r="I16" s="687">
        <f>+'7.a.sz.m.fejlesztés (4)'!D42+'7.a.sz.m.fejlesztés (4)'!D43+'7.a.sz.m.fejlesztés (4)'!D44+'7.a.sz.m.fejlesztés (4)'!D46</f>
        <v>11200000</v>
      </c>
      <c r="J16" s="687">
        <v>6700000</v>
      </c>
      <c r="K16" s="687">
        <f>+'7.b.sz.m.intfejl (2)'!E36</f>
        <v>3494285</v>
      </c>
      <c r="L16" s="687">
        <f>+'7.a.sz.m.fejlesztés (4)'!D41</f>
        <v>4293132</v>
      </c>
      <c r="M16" s="687">
        <v>113205223</v>
      </c>
      <c r="N16" s="687">
        <v>49569540</v>
      </c>
      <c r="O16" s="688">
        <f>SUM(C16:N16)</f>
        <v>293465044</v>
      </c>
      <c r="Q16" s="680"/>
    </row>
    <row r="17" spans="1:19" s="689" customFormat="1" ht="13.5" customHeight="1">
      <c r="A17" s="685" t="s">
        <v>419</v>
      </c>
      <c r="B17" s="686" t="s">
        <v>424</v>
      </c>
      <c r="C17" s="687"/>
      <c r="D17" s="687"/>
      <c r="E17" s="687"/>
      <c r="F17" s="687"/>
      <c r="G17" s="687"/>
      <c r="H17" s="687"/>
      <c r="I17" s="687"/>
      <c r="J17" s="687"/>
      <c r="K17" s="687"/>
      <c r="L17" s="687"/>
      <c r="M17" s="687"/>
      <c r="N17" s="687"/>
      <c r="O17" s="688">
        <f>SUM(C17:N17)</f>
        <v>0</v>
      </c>
      <c r="S17" s="680"/>
    </row>
    <row r="18" spans="1:15" s="689" customFormat="1" ht="13.5" customHeight="1" thickBot="1">
      <c r="A18" s="685" t="s">
        <v>421</v>
      </c>
      <c r="B18" s="686" t="s">
        <v>426</v>
      </c>
      <c r="C18" s="687">
        <f>+'1 .sz.m.önk.össz.kiad.'!E33</f>
        <v>10312557</v>
      </c>
      <c r="D18" s="687"/>
      <c r="E18" s="687">
        <f>+'1 .sz.m.önk.össz.kiad.'!E31/2-0.5</f>
        <v>1133900</v>
      </c>
      <c r="F18" s="687"/>
      <c r="G18" s="687"/>
      <c r="H18" s="687">
        <f>+'1 .sz.m.önk.össz.kiad.'!E31/2+0.5</f>
        <v>1133901</v>
      </c>
      <c r="I18" s="687"/>
      <c r="J18" s="687"/>
      <c r="K18" s="687"/>
      <c r="L18" s="687"/>
      <c r="M18" s="687"/>
      <c r="N18" s="687"/>
      <c r="O18" s="688">
        <f>SUM(C18:N18)</f>
        <v>12580358</v>
      </c>
    </row>
    <row r="19" spans="1:15" s="680" customFormat="1" ht="15.75" customHeight="1" thickBot="1">
      <c r="A19" s="685" t="s">
        <v>423</v>
      </c>
      <c r="B19" s="692" t="s">
        <v>427</v>
      </c>
      <c r="C19" s="693">
        <f aca="true" t="shared" si="2" ref="C19:O19">SUM(C15:C18)</f>
        <v>91294123</v>
      </c>
      <c r="D19" s="693">
        <f t="shared" si="2"/>
        <v>66296401</v>
      </c>
      <c r="E19" s="693">
        <f t="shared" si="2"/>
        <v>76226876</v>
      </c>
      <c r="F19" s="693">
        <f t="shared" si="2"/>
        <v>51616770</v>
      </c>
      <c r="G19" s="693">
        <f t="shared" si="2"/>
        <v>75434338</v>
      </c>
      <c r="H19" s="693">
        <f t="shared" si="2"/>
        <v>68684731</v>
      </c>
      <c r="I19" s="693">
        <f t="shared" si="2"/>
        <v>61194457</v>
      </c>
      <c r="J19" s="693">
        <f t="shared" si="2"/>
        <v>56694458</v>
      </c>
      <c r="K19" s="693">
        <f t="shared" si="2"/>
        <v>53488743</v>
      </c>
      <c r="L19" s="693">
        <f t="shared" si="2"/>
        <v>63589690</v>
      </c>
      <c r="M19" s="693">
        <f t="shared" si="2"/>
        <v>163199681</v>
      </c>
      <c r="N19" s="693">
        <f t="shared" si="2"/>
        <v>214724619</v>
      </c>
      <c r="O19" s="694">
        <f t="shared" si="2"/>
        <v>1042444887</v>
      </c>
    </row>
    <row r="20" spans="1:15" ht="16.5" thickBot="1">
      <c r="A20" s="685" t="s">
        <v>425</v>
      </c>
      <c r="B20" s="696" t="s">
        <v>428</v>
      </c>
      <c r="C20" s="697">
        <f>C13-C19</f>
        <v>135281008</v>
      </c>
      <c r="D20" s="697">
        <f>C13+D13-C19-D19</f>
        <v>103362520</v>
      </c>
      <c r="E20" s="697">
        <f>C13+D13+E13-C19-D19-E19</f>
        <v>159030958</v>
      </c>
      <c r="F20" s="697">
        <f>C13+D13+E13+F13-C19-D19-E19-F19</f>
        <v>141777068</v>
      </c>
      <c r="G20" s="697">
        <f>(SUM(C13:G13))-(SUM(C19:G19))</f>
        <v>100705610</v>
      </c>
      <c r="H20" s="697">
        <f>(SUM(C13:H13))-(SUM(C19:H19))</f>
        <v>69618526</v>
      </c>
      <c r="I20" s="697">
        <f>(SUM(C13:I13))-(SUM(C19:I19))</f>
        <v>151207998</v>
      </c>
      <c r="J20" s="697">
        <f>(SUM(C13:J13))-(SUM(C19:J19))</f>
        <v>141695998</v>
      </c>
      <c r="K20" s="697">
        <f>(SUM(C13:K13))-(SUM(C19:K19))</f>
        <v>256415357</v>
      </c>
      <c r="L20" s="697">
        <f>(SUM(C13:L13))-(SUM(C19:L19))</f>
        <v>254147866</v>
      </c>
      <c r="M20" s="697">
        <f>(SUM(C13:M13))-(SUM(C19:M19))</f>
        <v>132382165</v>
      </c>
      <c r="N20" s="697">
        <f>(SUM(C13:N13))-(SUM(C19:N19))</f>
        <v>0</v>
      </c>
      <c r="O20" s="698">
        <f>O13-O19</f>
        <v>0</v>
      </c>
    </row>
    <row r="21" ht="15.75">
      <c r="A21" s="699"/>
    </row>
    <row r="22" spans="2:4" ht="15.75">
      <c r="B22" s="700"/>
      <c r="C22" s="701"/>
      <c r="D22" s="701"/>
    </row>
  </sheetData>
  <sheetProtection/>
  <mergeCells count="4">
    <mergeCell ref="A2:O2"/>
    <mergeCell ref="B5:O5"/>
    <mergeCell ref="B14:O14"/>
    <mergeCell ref="G1:O1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41">
      <selection activeCell="L67" sqref="L67"/>
    </sheetView>
  </sheetViews>
  <sheetFormatPr defaultColWidth="9.140625" defaultRowHeight="12.75"/>
  <cols>
    <col min="1" max="1" width="59.421875" style="465" customWidth="1"/>
    <col min="2" max="2" width="15.7109375" style="465" customWidth="1"/>
    <col min="3" max="3" width="13.140625" style="465" customWidth="1"/>
    <col min="4" max="4" width="13.28125" style="465" customWidth="1"/>
    <col min="5" max="5" width="14.7109375" style="465" customWidth="1"/>
    <col min="6" max="6" width="15.57421875" style="465" customWidth="1"/>
    <col min="7" max="7" width="16.00390625" style="465" hidden="1" customWidth="1"/>
    <col min="8" max="10" width="9.140625" style="465" hidden="1" customWidth="1"/>
    <col min="11" max="11" width="10.00390625" style="465" bestFit="1" customWidth="1"/>
    <col min="12" max="13" width="10.8515625" style="465" bestFit="1" customWidth="1"/>
    <col min="14" max="16384" width="9.140625" style="465" customWidth="1"/>
  </cols>
  <sheetData>
    <row r="1" spans="1:7" ht="21" customHeight="1">
      <c r="A1" s="1329" t="s">
        <v>601</v>
      </c>
      <c r="B1" s="1329"/>
      <c r="C1" s="1329"/>
      <c r="D1" s="1329"/>
      <c r="E1" s="1329"/>
      <c r="F1" s="1329"/>
      <c r="G1" s="1329"/>
    </row>
    <row r="2" spans="1:7" s="466" customFormat="1" ht="51.75" customHeight="1">
      <c r="A2" s="1328" t="s">
        <v>645</v>
      </c>
      <c r="B2" s="1328"/>
      <c r="C2" s="1328"/>
      <c r="D2" s="1328"/>
      <c r="E2" s="1328"/>
      <c r="F2" s="1328"/>
      <c r="G2" s="1328"/>
    </row>
    <row r="3" spans="1:7" ht="15.75" customHeight="1" thickBot="1">
      <c r="A3" s="467"/>
      <c r="B3" s="1330" t="s">
        <v>446</v>
      </c>
      <c r="C3" s="1330"/>
      <c r="D3" s="1330"/>
      <c r="E3" s="1330"/>
      <c r="F3" s="1330"/>
      <c r="G3" s="1330"/>
    </row>
    <row r="4" spans="1:10" ht="24" customHeight="1" thickBot="1">
      <c r="A4" s="468" t="s">
        <v>249</v>
      </c>
      <c r="B4" s="482" t="s">
        <v>250</v>
      </c>
      <c r="C4" s="482" t="s">
        <v>225</v>
      </c>
      <c r="D4" s="482" t="s">
        <v>230</v>
      </c>
      <c r="E4" s="482" t="s">
        <v>232</v>
      </c>
      <c r="F4" s="482" t="s">
        <v>436</v>
      </c>
      <c r="G4" s="482" t="s">
        <v>440</v>
      </c>
      <c r="H4" s="482" t="s">
        <v>436</v>
      </c>
      <c r="I4" s="482" t="s">
        <v>440</v>
      </c>
      <c r="J4" s="482" t="s">
        <v>433</v>
      </c>
    </row>
    <row r="5" spans="1:10" s="470" customFormat="1" ht="21" customHeight="1">
      <c r="A5" s="469" t="s">
        <v>251</v>
      </c>
      <c r="B5" s="483">
        <v>80038280</v>
      </c>
      <c r="C5" s="483">
        <v>80038280</v>
      </c>
      <c r="D5" s="483">
        <v>80038280</v>
      </c>
      <c r="E5" s="483">
        <v>80038280</v>
      </c>
      <c r="F5" s="483">
        <v>80038280</v>
      </c>
      <c r="G5" s="483"/>
      <c r="H5" s="483"/>
      <c r="I5" s="483"/>
      <c r="J5" s="726" t="e">
        <f>H5/G5</f>
        <v>#DIV/0!</v>
      </c>
    </row>
    <row r="6" spans="1:10" s="470" customFormat="1" ht="21" customHeight="1">
      <c r="A6" s="471" t="s">
        <v>252</v>
      </c>
      <c r="B6" s="484">
        <v>0</v>
      </c>
      <c r="C6" s="484">
        <v>0</v>
      </c>
      <c r="D6" s="484">
        <v>0</v>
      </c>
      <c r="E6" s="484">
        <v>0</v>
      </c>
      <c r="F6" s="484">
        <v>0</v>
      </c>
      <c r="G6" s="484"/>
      <c r="H6" s="484">
        <v>0</v>
      </c>
      <c r="I6" s="484">
        <v>0</v>
      </c>
      <c r="J6" s="1322"/>
    </row>
    <row r="7" spans="1:10" s="470" customFormat="1" ht="21" customHeight="1">
      <c r="A7" s="471" t="s">
        <v>253</v>
      </c>
      <c r="B7" s="484">
        <v>0</v>
      </c>
      <c r="C7" s="484">
        <v>0</v>
      </c>
      <c r="D7" s="484">
        <v>0</v>
      </c>
      <c r="E7" s="484">
        <v>0</v>
      </c>
      <c r="F7" s="484">
        <v>0</v>
      </c>
      <c r="G7" s="484"/>
      <c r="H7" s="484">
        <v>0</v>
      </c>
      <c r="I7" s="484">
        <v>0</v>
      </c>
      <c r="J7" s="1323"/>
    </row>
    <row r="8" spans="1:10" s="470" customFormat="1" ht="21" customHeight="1">
      <c r="A8" s="471" t="s">
        <v>254</v>
      </c>
      <c r="B8" s="484">
        <v>0</v>
      </c>
      <c r="C8" s="484">
        <v>0</v>
      </c>
      <c r="D8" s="484">
        <v>0</v>
      </c>
      <c r="E8" s="484">
        <v>0</v>
      </c>
      <c r="F8" s="484">
        <v>0</v>
      </c>
      <c r="G8" s="484"/>
      <c r="H8" s="484">
        <v>0</v>
      </c>
      <c r="I8" s="484">
        <v>0</v>
      </c>
      <c r="J8" s="1323"/>
    </row>
    <row r="9" spans="1:10" s="470" customFormat="1" ht="21" customHeight="1">
      <c r="A9" s="471" t="s">
        <v>255</v>
      </c>
      <c r="B9" s="484">
        <v>0</v>
      </c>
      <c r="C9" s="484">
        <v>0</v>
      </c>
      <c r="D9" s="484">
        <v>0</v>
      </c>
      <c r="E9" s="484">
        <v>0</v>
      </c>
      <c r="F9" s="484">
        <v>0</v>
      </c>
      <c r="G9" s="484"/>
      <c r="H9" s="484">
        <v>0</v>
      </c>
      <c r="I9" s="484">
        <v>0</v>
      </c>
      <c r="J9" s="1323"/>
    </row>
    <row r="10" spans="1:10" s="470" customFormat="1" ht="21" customHeight="1">
      <c r="A10" s="469" t="s">
        <v>256</v>
      </c>
      <c r="B10" s="485">
        <f>SUM(B6:B9)</f>
        <v>0</v>
      </c>
      <c r="C10" s="485">
        <f>SUM(C6:C9)</f>
        <v>0</v>
      </c>
      <c r="D10" s="485">
        <f>SUM(D6:D9)</f>
        <v>0</v>
      </c>
      <c r="E10" s="485">
        <f>SUM(E6:E9)</f>
        <v>0</v>
      </c>
      <c r="F10" s="485">
        <f>SUM(F6:F9)</f>
        <v>0</v>
      </c>
      <c r="G10" s="485"/>
      <c r="H10" s="485">
        <f>SUM(H6:H9)</f>
        <v>0</v>
      </c>
      <c r="I10" s="485">
        <f>SUM(I6:I9)</f>
        <v>0</v>
      </c>
      <c r="J10" s="1323"/>
    </row>
    <row r="11" spans="1:10" s="470" customFormat="1" ht="21" customHeight="1" hidden="1">
      <c r="A11" s="472" t="s">
        <v>257</v>
      </c>
      <c r="B11" s="485"/>
      <c r="C11" s="485"/>
      <c r="D11" s="485"/>
      <c r="E11" s="485"/>
      <c r="F11" s="485"/>
      <c r="G11" s="485"/>
      <c r="H11" s="485"/>
      <c r="I11" s="485"/>
      <c r="J11" s="1323"/>
    </row>
    <row r="12" spans="1:10" s="470" customFormat="1" ht="21" customHeight="1">
      <c r="A12" s="469" t="s">
        <v>336</v>
      </c>
      <c r="B12" s="485">
        <v>0</v>
      </c>
      <c r="C12" s="485">
        <v>0</v>
      </c>
      <c r="D12" s="485">
        <v>0</v>
      </c>
      <c r="E12" s="485">
        <v>0</v>
      </c>
      <c r="F12" s="485">
        <v>0</v>
      </c>
      <c r="G12" s="485"/>
      <c r="H12" s="485">
        <v>0</v>
      </c>
      <c r="I12" s="485">
        <v>0</v>
      </c>
      <c r="J12" s="1323"/>
    </row>
    <row r="13" spans="1:10" s="470" customFormat="1" ht="21" customHeight="1" hidden="1" thickBot="1">
      <c r="A13" s="469" t="s">
        <v>261</v>
      </c>
      <c r="B13" s="514">
        <v>0</v>
      </c>
      <c r="C13" s="514">
        <v>0</v>
      </c>
      <c r="D13" s="514">
        <v>0</v>
      </c>
      <c r="E13" s="514">
        <v>0</v>
      </c>
      <c r="F13" s="514">
        <v>0</v>
      </c>
      <c r="G13" s="514"/>
      <c r="H13" s="514">
        <v>0</v>
      </c>
      <c r="I13" s="514">
        <v>0</v>
      </c>
      <c r="J13" s="1324"/>
    </row>
    <row r="14" spans="1:10" s="470" customFormat="1" ht="21" customHeight="1" thickBot="1">
      <c r="A14" s="747" t="s">
        <v>685</v>
      </c>
      <c r="B14" s="713"/>
      <c r="C14" s="713">
        <v>516719</v>
      </c>
      <c r="D14" s="713">
        <f>516719+295408+138024</f>
        <v>950151</v>
      </c>
      <c r="E14" s="713">
        <f>516719+295408+138024+273741</f>
        <v>1223892</v>
      </c>
      <c r="F14" s="713">
        <f>1628724+138024</f>
        <v>1766748</v>
      </c>
      <c r="G14" s="713"/>
      <c r="H14" s="713"/>
      <c r="I14" s="713"/>
      <c r="J14" s="727" t="e">
        <f>H14/G14</f>
        <v>#DIV/0!</v>
      </c>
    </row>
    <row r="15" spans="1:10" s="470" customFormat="1" ht="52.5" customHeight="1" thickBot="1">
      <c r="A15" s="1007" t="s">
        <v>696</v>
      </c>
      <c r="B15" s="713"/>
      <c r="C15" s="713"/>
      <c r="D15" s="713"/>
      <c r="E15" s="713">
        <v>2584000</v>
      </c>
      <c r="F15" s="713">
        <v>2584000</v>
      </c>
      <c r="G15" s="713"/>
      <c r="H15" s="713"/>
      <c r="I15" s="713"/>
      <c r="J15" s="727"/>
    </row>
    <row r="16" spans="1:14" s="475" customFormat="1" ht="24.75" customHeight="1" thickBot="1">
      <c r="A16" s="474" t="s">
        <v>678</v>
      </c>
      <c r="B16" s="486">
        <f>B5+B10-B11+B12+B13+B14</f>
        <v>80038280</v>
      </c>
      <c r="C16" s="486">
        <f>C5+C10-C11+C12+C13+C14</f>
        <v>80554999</v>
      </c>
      <c r="D16" s="486">
        <f>D5+D10-D11+D12+D13+D14</f>
        <v>80988431</v>
      </c>
      <c r="E16" s="486">
        <f>E5+E10-E11+E12+E13+E14+E15</f>
        <v>83846172</v>
      </c>
      <c r="F16" s="486">
        <f>F5+F10-F11+F12+F13+F14+F15</f>
        <v>84389028</v>
      </c>
      <c r="G16" s="486"/>
      <c r="H16" s="486">
        <f>H5+H10-H11+H12+H13+H14</f>
        <v>0</v>
      </c>
      <c r="I16" s="486">
        <f>I5+I10-I11+I12+I13+I14</f>
        <v>0</v>
      </c>
      <c r="J16" s="728" t="e">
        <f>H16/G16</f>
        <v>#DIV/0!</v>
      </c>
      <c r="L16" s="702"/>
      <c r="M16" s="702"/>
      <c r="N16" s="702"/>
    </row>
    <row r="17" spans="1:14" ht="24.75" customHeight="1">
      <c r="A17" s="476" t="s">
        <v>258</v>
      </c>
      <c r="B17" s="483">
        <f>9617300+2940000+18651733+5880000+1983500</f>
        <v>39072533</v>
      </c>
      <c r="C17" s="483">
        <f>9617300+2940000+18651733+5880000+1983500</f>
        <v>39072533</v>
      </c>
      <c r="D17" s="483">
        <f>9617300+2940000+18651733+5880000+1983500</f>
        <v>39072533</v>
      </c>
      <c r="E17" s="483">
        <f>9617300+2940000+18651733+5880000+1983500-145717</f>
        <v>38926816</v>
      </c>
      <c r="F17" s="483">
        <f>37089033+2201685</f>
        <v>39290718</v>
      </c>
      <c r="G17" s="483"/>
      <c r="H17" s="483"/>
      <c r="I17" s="483"/>
      <c r="J17" s="1325"/>
      <c r="M17" s="750"/>
      <c r="N17" s="702"/>
    </row>
    <row r="18" spans="1:10" ht="24.75" customHeight="1" thickBot="1">
      <c r="A18" s="472" t="s">
        <v>259</v>
      </c>
      <c r="B18" s="485">
        <f>4415467+2272667</f>
        <v>6688134</v>
      </c>
      <c r="C18" s="485">
        <f>4415467+2272667</f>
        <v>6688134</v>
      </c>
      <c r="D18" s="485">
        <f>4415467+2272667</f>
        <v>6688134</v>
      </c>
      <c r="E18" s="485">
        <f>4415467+2272667-32467</f>
        <v>6655667</v>
      </c>
      <c r="F18" s="485">
        <v>6590734</v>
      </c>
      <c r="G18" s="485"/>
      <c r="H18" s="485"/>
      <c r="I18" s="485"/>
      <c r="J18" s="1326"/>
    </row>
    <row r="19" spans="1:10" ht="50.25" customHeight="1" thickBot="1">
      <c r="A19" s="1007" t="s">
        <v>696</v>
      </c>
      <c r="B19" s="1008"/>
      <c r="C19" s="1008"/>
      <c r="D19" s="1008"/>
      <c r="E19" s="1008">
        <v>780000</v>
      </c>
      <c r="F19" s="1008">
        <v>780000</v>
      </c>
      <c r="G19" s="1008"/>
      <c r="H19" s="1008"/>
      <c r="I19" s="1008"/>
      <c r="J19" s="751"/>
    </row>
    <row r="20" spans="1:12" s="475" customFormat="1" ht="24.75" customHeight="1" thickBot="1">
      <c r="A20" s="474" t="s">
        <v>337</v>
      </c>
      <c r="B20" s="487">
        <f>SUM(B17:B18)</f>
        <v>45760667</v>
      </c>
      <c r="C20" s="487">
        <f>SUM(C17:C18)</f>
        <v>45760667</v>
      </c>
      <c r="D20" s="487">
        <f>SUM(D17:D18)</f>
        <v>45760667</v>
      </c>
      <c r="E20" s="487">
        <f>SUM(E17:E18)+E19</f>
        <v>46362483</v>
      </c>
      <c r="F20" s="487">
        <f>SUM(F17:F18)+F19</f>
        <v>46661452</v>
      </c>
      <c r="G20" s="487"/>
      <c r="H20" s="487">
        <f>SUM(H17:H18)</f>
        <v>0</v>
      </c>
      <c r="I20" s="487">
        <f>SUM(I17:I18)</f>
        <v>0</v>
      </c>
      <c r="J20" s="729" t="e">
        <f>H20/G20</f>
        <v>#DIV/0!</v>
      </c>
      <c r="L20" s="702"/>
    </row>
    <row r="21" spans="1:10" ht="24.75" customHeight="1" hidden="1">
      <c r="A21" s="477" t="s">
        <v>260</v>
      </c>
      <c r="B21" s="488">
        <v>0</v>
      </c>
      <c r="C21" s="488">
        <v>0</v>
      </c>
      <c r="D21" s="488">
        <v>0</v>
      </c>
      <c r="E21" s="488">
        <v>0</v>
      </c>
      <c r="F21" s="488">
        <v>0</v>
      </c>
      <c r="G21" s="488"/>
      <c r="H21" s="488"/>
      <c r="I21" s="488"/>
      <c r="J21" s="1325"/>
    </row>
    <row r="22" spans="1:10" ht="24.75" customHeight="1">
      <c r="A22" s="471" t="s">
        <v>450</v>
      </c>
      <c r="B22" s="489">
        <v>20400000</v>
      </c>
      <c r="C22" s="489">
        <v>20400000</v>
      </c>
      <c r="D22" s="489">
        <v>20400000</v>
      </c>
      <c r="E22" s="489">
        <v>20400000</v>
      </c>
      <c r="F22" s="489">
        <v>20400000</v>
      </c>
      <c r="G22" s="489"/>
      <c r="H22" s="489"/>
      <c r="I22" s="489"/>
      <c r="J22" s="1327"/>
    </row>
    <row r="23" spans="1:10" ht="24.75" customHeight="1" hidden="1">
      <c r="A23" s="471" t="s">
        <v>262</v>
      </c>
      <c r="B23" s="489"/>
      <c r="C23" s="489"/>
      <c r="D23" s="489"/>
      <c r="E23" s="489"/>
      <c r="F23" s="489"/>
      <c r="G23" s="489"/>
      <c r="H23" s="489"/>
      <c r="I23" s="489"/>
      <c r="J23" s="1327"/>
    </row>
    <row r="24" spans="1:10" ht="24.75" customHeight="1">
      <c r="A24" s="471" t="s">
        <v>451</v>
      </c>
      <c r="B24" s="489">
        <v>14919520</v>
      </c>
      <c r="C24" s="489">
        <v>14919520</v>
      </c>
      <c r="D24" s="489">
        <v>14919520</v>
      </c>
      <c r="E24" s="489">
        <f>14919520-608960</f>
        <v>14310560</v>
      </c>
      <c r="F24" s="489">
        <f>14919520-608960</f>
        <v>14310560</v>
      </c>
      <c r="G24" s="913"/>
      <c r="H24" s="489"/>
      <c r="I24" s="489"/>
      <c r="J24" s="1327"/>
    </row>
    <row r="25" spans="1:10" ht="24.75" customHeight="1">
      <c r="A25" s="471" t="s">
        <v>503</v>
      </c>
      <c r="B25" s="489">
        <v>300000</v>
      </c>
      <c r="C25" s="489">
        <v>300000</v>
      </c>
      <c r="D25" s="489">
        <v>300000</v>
      </c>
      <c r="E25" s="489">
        <f>300000-100000</f>
        <v>200000</v>
      </c>
      <c r="F25" s="489">
        <v>150000</v>
      </c>
      <c r="G25" s="489"/>
      <c r="H25" s="489"/>
      <c r="I25" s="489"/>
      <c r="J25" s="1327"/>
    </row>
    <row r="26" spans="1:10" ht="24.75" customHeight="1">
      <c r="A26" s="471" t="s">
        <v>504</v>
      </c>
      <c r="B26" s="489">
        <v>66495000</v>
      </c>
      <c r="C26" s="489">
        <v>66495000</v>
      </c>
      <c r="D26" s="489">
        <v>66495000</v>
      </c>
      <c r="E26" s="489">
        <f>66495000-3861000</f>
        <v>62634000</v>
      </c>
      <c r="F26" s="489">
        <f>66495000-3861000</f>
        <v>62634000</v>
      </c>
      <c r="G26" s="489"/>
      <c r="H26" s="489"/>
      <c r="I26" s="489"/>
      <c r="J26" s="1327"/>
    </row>
    <row r="27" spans="1:10" ht="24.75" customHeight="1">
      <c r="A27" s="471" t="s">
        <v>505</v>
      </c>
      <c r="B27" s="489">
        <v>2520000</v>
      </c>
      <c r="C27" s="489">
        <v>2520000</v>
      </c>
      <c r="D27" s="489">
        <v>2520000</v>
      </c>
      <c r="E27" s="489">
        <f>2520000+648000</f>
        <v>3168000</v>
      </c>
      <c r="F27" s="489">
        <f>360000+2808000</f>
        <v>3168000</v>
      </c>
      <c r="G27" s="489"/>
      <c r="H27" s="489"/>
      <c r="I27" s="489"/>
      <c r="J27" s="1327"/>
    </row>
    <row r="28" spans="1:10" ht="24.75" customHeight="1">
      <c r="A28" s="471" t="s">
        <v>452</v>
      </c>
      <c r="B28" s="489">
        <v>1798500</v>
      </c>
      <c r="C28" s="489">
        <v>1798500</v>
      </c>
      <c r="D28" s="489">
        <v>1798500</v>
      </c>
      <c r="E28" s="489">
        <v>1798500</v>
      </c>
      <c r="F28" s="489">
        <v>1471500</v>
      </c>
      <c r="G28" s="489"/>
      <c r="H28" s="489"/>
      <c r="I28" s="489"/>
      <c r="J28" s="1327"/>
    </row>
    <row r="29" spans="1:10" ht="24.75" customHeight="1">
      <c r="A29" s="748" t="s">
        <v>506</v>
      </c>
      <c r="B29" s="489">
        <v>3400000</v>
      </c>
      <c r="C29" s="489">
        <v>3400000</v>
      </c>
      <c r="D29" s="489">
        <v>3400000</v>
      </c>
      <c r="E29" s="489">
        <v>3400000</v>
      </c>
      <c r="F29" s="489">
        <v>3400000</v>
      </c>
      <c r="G29" s="489"/>
      <c r="H29" s="489"/>
      <c r="I29" s="489"/>
      <c r="J29" s="1327"/>
    </row>
    <row r="30" spans="1:10" ht="32.25" customHeight="1">
      <c r="A30" s="749" t="s">
        <v>507</v>
      </c>
      <c r="B30" s="489">
        <v>5700000</v>
      </c>
      <c r="C30" s="489">
        <v>5700000</v>
      </c>
      <c r="D30" s="489">
        <v>5700000</v>
      </c>
      <c r="E30" s="489">
        <v>5700000</v>
      </c>
      <c r="F30" s="489">
        <v>5700000</v>
      </c>
      <c r="G30" s="489"/>
      <c r="H30" s="489"/>
      <c r="I30" s="489"/>
      <c r="J30" s="1327"/>
    </row>
    <row r="31" spans="1:10" s="478" customFormat="1" ht="24.75" customHeight="1">
      <c r="A31" s="469" t="s">
        <v>263</v>
      </c>
      <c r="B31" s="491">
        <f>SUM(B22,B24:B30)</f>
        <v>115533020</v>
      </c>
      <c r="C31" s="491">
        <f>SUM(C22,C24:C30)</f>
        <v>115533020</v>
      </c>
      <c r="D31" s="491">
        <f>SUM(D22,D24:D30)</f>
        <v>115533020</v>
      </c>
      <c r="E31" s="491">
        <f>SUM(E22,E24:E30)</f>
        <v>111611060</v>
      </c>
      <c r="F31" s="491">
        <f>SUM(F22,F24:F30)</f>
        <v>111234060</v>
      </c>
      <c r="G31" s="491"/>
      <c r="H31" s="491">
        <f>SUM(H22,H24:H27)</f>
        <v>0</v>
      </c>
      <c r="I31" s="491">
        <f>SUM(I22,I24:I27)</f>
        <v>0</v>
      </c>
      <c r="J31" s="1327"/>
    </row>
    <row r="32" spans="1:10" s="478" customFormat="1" ht="24.75" customHeight="1">
      <c r="A32" s="511" t="s">
        <v>340</v>
      </c>
      <c r="B32" s="489">
        <v>12293000</v>
      </c>
      <c r="C32" s="489">
        <v>12293000</v>
      </c>
      <c r="D32" s="489">
        <v>12293000</v>
      </c>
      <c r="E32" s="489">
        <f>12293000+380000</f>
        <v>12673000</v>
      </c>
      <c r="F32" s="489">
        <v>12711000</v>
      </c>
      <c r="G32" s="489"/>
      <c r="H32" s="489"/>
      <c r="I32" s="489"/>
      <c r="J32" s="1327"/>
    </row>
    <row r="33" spans="1:10" s="478" customFormat="1" ht="24.75" customHeight="1">
      <c r="A33" s="511" t="s">
        <v>339</v>
      </c>
      <c r="B33" s="489">
        <v>5592437</v>
      </c>
      <c r="C33" s="489">
        <v>5592437</v>
      </c>
      <c r="D33" s="489">
        <v>5592437</v>
      </c>
      <c r="E33" s="489">
        <f>5592437-90238</f>
        <v>5502199</v>
      </c>
      <c r="F33" s="489">
        <v>6699856</v>
      </c>
      <c r="G33" s="489"/>
      <c r="H33" s="489"/>
      <c r="I33" s="489"/>
      <c r="J33" s="1327"/>
    </row>
    <row r="34" spans="1:10" s="478" customFormat="1" ht="24.75" customHeight="1">
      <c r="A34" s="748" t="s">
        <v>453</v>
      </c>
      <c r="B34" s="651">
        <v>35910</v>
      </c>
      <c r="C34" s="651">
        <v>35910</v>
      </c>
      <c r="D34" s="651">
        <v>35910</v>
      </c>
      <c r="E34" s="651">
        <f>35910-1140</f>
        <v>34770</v>
      </c>
      <c r="F34" s="651">
        <v>3990</v>
      </c>
      <c r="G34" s="651"/>
      <c r="H34" s="651"/>
      <c r="I34" s="651"/>
      <c r="J34" s="1327"/>
    </row>
    <row r="35" spans="1:10" s="478" customFormat="1" ht="24.75" customHeight="1" thickBot="1">
      <c r="A35" s="512" t="s">
        <v>338</v>
      </c>
      <c r="B35" s="513">
        <f>SUM(B32:B34)</f>
        <v>17921347</v>
      </c>
      <c r="C35" s="513">
        <f>SUM(C32:C34)</f>
        <v>17921347</v>
      </c>
      <c r="D35" s="513">
        <f>SUM(D32:D34)</f>
        <v>17921347</v>
      </c>
      <c r="E35" s="513">
        <f>SUM(E32:E34)</f>
        <v>18209969</v>
      </c>
      <c r="F35" s="513">
        <f>SUM(F32:F34)</f>
        <v>19414846</v>
      </c>
      <c r="G35" s="513"/>
      <c r="H35" s="513">
        <f>SUM(H32:H33)</f>
        <v>0</v>
      </c>
      <c r="I35" s="513">
        <f>SUM(I32:I33)</f>
        <v>0</v>
      </c>
      <c r="J35" s="1327"/>
    </row>
    <row r="36" spans="1:10" s="478" customFormat="1" ht="24.75" customHeight="1" thickBot="1">
      <c r="A36" s="714" t="s">
        <v>679</v>
      </c>
      <c r="B36" s="715">
        <v>8979000</v>
      </c>
      <c r="C36" s="715">
        <v>8979000</v>
      </c>
      <c r="D36" s="715">
        <v>8979000</v>
      </c>
      <c r="E36" s="715">
        <v>8979000</v>
      </c>
      <c r="F36" s="715">
        <v>8979000</v>
      </c>
      <c r="G36" s="715"/>
      <c r="H36" s="715"/>
      <c r="I36" s="715"/>
      <c r="J36" s="1326"/>
    </row>
    <row r="37" spans="1:10" s="478" customFormat="1" ht="24.75" customHeight="1" thickBot="1">
      <c r="A37" s="714" t="s">
        <v>680</v>
      </c>
      <c r="B37" s="715">
        <v>3214000</v>
      </c>
      <c r="C37" s="715">
        <v>3214000</v>
      </c>
      <c r="D37" s="715">
        <v>3214000</v>
      </c>
      <c r="E37" s="715">
        <v>3214000</v>
      </c>
      <c r="F37" s="715">
        <v>3664000</v>
      </c>
      <c r="G37" s="715"/>
      <c r="H37" s="715"/>
      <c r="I37" s="715"/>
      <c r="J37" s="751"/>
    </row>
    <row r="38" spans="1:10" s="478" customFormat="1" ht="24.75" customHeight="1" thickBot="1">
      <c r="A38" s="714" t="s">
        <v>513</v>
      </c>
      <c r="B38" s="715"/>
      <c r="C38" s="715">
        <v>5194247</v>
      </c>
      <c r="D38" s="715">
        <f>5194247+2657818</f>
        <v>7852065</v>
      </c>
      <c r="E38" s="715">
        <f>5194247+2657818+2578682</f>
        <v>10430747</v>
      </c>
      <c r="F38" s="715">
        <v>15363067</v>
      </c>
      <c r="G38" s="715"/>
      <c r="H38" s="715"/>
      <c r="I38" s="715"/>
      <c r="J38" s="751"/>
    </row>
    <row r="39" spans="1:10" s="478" customFormat="1" ht="48" customHeight="1" thickBot="1">
      <c r="A39" s="1007" t="s">
        <v>696</v>
      </c>
      <c r="B39" s="715"/>
      <c r="C39" s="715"/>
      <c r="D39" s="715"/>
      <c r="E39" s="715">
        <v>8796000</v>
      </c>
      <c r="F39" s="715">
        <v>8796000</v>
      </c>
      <c r="G39" s="715"/>
      <c r="H39" s="715"/>
      <c r="I39" s="715"/>
      <c r="J39" s="751"/>
    </row>
    <row r="40" spans="1:12" s="479" customFormat="1" ht="24.75" customHeight="1" thickBot="1">
      <c r="A40" s="474" t="s">
        <v>341</v>
      </c>
      <c r="B40" s="487">
        <f>B21+B31+B35+B36+B37</f>
        <v>145647367</v>
      </c>
      <c r="C40" s="487">
        <f>C21+C31+C35+C36+C37+C38</f>
        <v>150841614</v>
      </c>
      <c r="D40" s="487">
        <f>D21+D31+D35+D36+D37+D38</f>
        <v>153499432</v>
      </c>
      <c r="E40" s="487">
        <f>E21+E31+E35+E36+E37+E38+E39</f>
        <v>161240776</v>
      </c>
      <c r="F40" s="487">
        <f>F21+F31+F35+F36+F37+F38+F39</f>
        <v>167450973</v>
      </c>
      <c r="G40" s="910"/>
      <c r="H40" s="487">
        <f>H21+H31+H35+H36</f>
        <v>0</v>
      </c>
      <c r="I40" s="487">
        <f>I21+I31+I35+I36</f>
        <v>0</v>
      </c>
      <c r="J40" s="729" t="e">
        <f>H40/G40</f>
        <v>#DIV/0!</v>
      </c>
      <c r="L40" s="934"/>
    </row>
    <row r="41" spans="1:11" s="478" customFormat="1" ht="24.75" customHeight="1" thickBot="1">
      <c r="A41" s="480" t="s">
        <v>342</v>
      </c>
      <c r="B41" s="490">
        <v>3181090</v>
      </c>
      <c r="C41" s="490">
        <v>3181090</v>
      </c>
      <c r="D41" s="490">
        <v>3181090</v>
      </c>
      <c r="E41" s="490">
        <v>3181090</v>
      </c>
      <c r="F41" s="490">
        <v>3181090</v>
      </c>
      <c r="G41" s="490"/>
      <c r="H41" s="490"/>
      <c r="I41" s="490"/>
      <c r="J41" s="730" t="e">
        <f>H41/G41</f>
        <v>#DIV/0!</v>
      </c>
      <c r="K41" s="908"/>
    </row>
    <row r="42" spans="1:10" ht="24.75" customHeight="1" hidden="1">
      <c r="A42" s="472" t="s">
        <v>264</v>
      </c>
      <c r="B42" s="491"/>
      <c r="C42" s="491"/>
      <c r="D42" s="491"/>
      <c r="E42" s="491"/>
      <c r="F42" s="491"/>
      <c r="G42" s="491"/>
      <c r="H42" s="491"/>
      <c r="I42" s="491"/>
      <c r="J42" s="731"/>
    </row>
    <row r="43" spans="1:10" ht="24.75" customHeight="1" hidden="1">
      <c r="A43" s="473"/>
      <c r="B43" s="492"/>
      <c r="C43" s="492"/>
      <c r="D43" s="492"/>
      <c r="E43" s="492"/>
      <c r="F43" s="492"/>
      <c r="G43" s="492"/>
      <c r="H43" s="492"/>
      <c r="I43" s="492"/>
      <c r="J43" s="732"/>
    </row>
    <row r="44" spans="1:10" ht="24.75" customHeight="1" hidden="1">
      <c r="A44" s="748" t="s">
        <v>506</v>
      </c>
      <c r="B44" s="651"/>
      <c r="C44" s="651"/>
      <c r="D44" s="651"/>
      <c r="E44" s="651"/>
      <c r="F44" s="651"/>
      <c r="G44" s="651"/>
      <c r="H44" s="492"/>
      <c r="I44" s="492"/>
      <c r="J44" s="732"/>
    </row>
    <row r="45" spans="1:10" ht="33.75" customHeight="1" hidden="1">
      <c r="A45" s="749" t="s">
        <v>507</v>
      </c>
      <c r="B45" s="651"/>
      <c r="C45" s="651"/>
      <c r="D45" s="651"/>
      <c r="E45" s="651"/>
      <c r="F45" s="651"/>
      <c r="G45" s="651"/>
      <c r="H45" s="492"/>
      <c r="I45" s="492"/>
      <c r="J45" s="732"/>
    </row>
    <row r="46" spans="1:10" ht="24.75" customHeight="1" hidden="1">
      <c r="A46" s="473" t="s">
        <v>508</v>
      </c>
      <c r="B46" s="492">
        <f>SUM(B44:B45)</f>
        <v>0</v>
      </c>
      <c r="C46" s="492">
        <f>SUM(C44:C45)</f>
        <v>0</v>
      </c>
      <c r="D46" s="492">
        <f>SUM(D44:D45)</f>
        <v>0</v>
      </c>
      <c r="E46" s="492">
        <f>SUM(E44:E45)</f>
        <v>0</v>
      </c>
      <c r="F46" s="492">
        <f>SUM(F44:F45)</f>
        <v>0</v>
      </c>
      <c r="G46" s="492"/>
      <c r="H46" s="492"/>
      <c r="I46" s="492"/>
      <c r="J46" s="732"/>
    </row>
    <row r="47" spans="1:11" ht="24.75" customHeight="1" hidden="1">
      <c r="A47" s="473" t="s">
        <v>569</v>
      </c>
      <c r="B47" s="492"/>
      <c r="C47" s="492"/>
      <c r="D47" s="492"/>
      <c r="E47" s="492"/>
      <c r="F47" s="492"/>
      <c r="G47" s="492"/>
      <c r="H47" s="492"/>
      <c r="I47" s="492"/>
      <c r="J47" s="732" t="e">
        <f>H47/G47</f>
        <v>#DIV/0!</v>
      </c>
      <c r="K47" s="750"/>
    </row>
    <row r="48" spans="1:11" ht="51.75" customHeight="1" thickBot="1">
      <c r="A48" s="1007" t="s">
        <v>696</v>
      </c>
      <c r="B48" s="492"/>
      <c r="C48" s="492"/>
      <c r="D48" s="492"/>
      <c r="E48" s="492">
        <v>108000</v>
      </c>
      <c r="F48" s="492">
        <v>108000</v>
      </c>
      <c r="G48" s="492"/>
      <c r="H48" s="492"/>
      <c r="I48" s="492"/>
      <c r="J48" s="732"/>
      <c r="K48" s="750"/>
    </row>
    <row r="49" spans="1:10" ht="24.75" customHeight="1">
      <c r="A49" s="473" t="s">
        <v>646</v>
      </c>
      <c r="B49" s="492"/>
      <c r="C49" s="492">
        <v>198370</v>
      </c>
      <c r="D49" s="492">
        <f>198370+220835</f>
        <v>419205</v>
      </c>
      <c r="E49" s="492">
        <f>198370+220835+145992</f>
        <v>565197</v>
      </c>
      <c r="F49" s="492">
        <v>854717</v>
      </c>
      <c r="G49" s="492"/>
      <c r="H49" s="492"/>
      <c r="I49" s="492"/>
      <c r="J49" s="732"/>
    </row>
    <row r="50" spans="1:10" ht="24.75" customHeight="1">
      <c r="A50" s="473" t="s">
        <v>697</v>
      </c>
      <c r="B50" s="492"/>
      <c r="C50" s="492"/>
      <c r="D50" s="492"/>
      <c r="E50" s="492">
        <f>+E49+E48+E41</f>
        <v>3854287</v>
      </c>
      <c r="F50" s="492">
        <f>+F49+F48+F41</f>
        <v>4143807</v>
      </c>
      <c r="G50" s="492"/>
      <c r="H50" s="492"/>
      <c r="I50" s="492"/>
      <c r="J50" s="732"/>
    </row>
    <row r="51" spans="1:10" ht="24.75" customHeight="1">
      <c r="A51" s="473" t="s">
        <v>435</v>
      </c>
      <c r="B51" s="492"/>
      <c r="C51" s="492"/>
      <c r="D51" s="492">
        <v>125000</v>
      </c>
      <c r="E51" s="492">
        <v>125000</v>
      </c>
      <c r="F51" s="492">
        <v>125000</v>
      </c>
      <c r="G51" s="492"/>
      <c r="H51" s="492"/>
      <c r="I51" s="492"/>
      <c r="J51" s="732"/>
    </row>
    <row r="52" spans="1:10" ht="42" customHeight="1" hidden="1">
      <c r="A52" s="882" t="s">
        <v>608</v>
      </c>
      <c r="B52" s="492"/>
      <c r="C52" s="492"/>
      <c r="D52" s="492"/>
      <c r="E52" s="492"/>
      <c r="F52" s="492"/>
      <c r="G52" s="492"/>
      <c r="H52" s="492"/>
      <c r="I52" s="492"/>
      <c r="J52" s="732"/>
    </row>
    <row r="53" spans="1:10" ht="30">
      <c r="A53" s="882" t="s">
        <v>609</v>
      </c>
      <c r="B53" s="492"/>
      <c r="C53" s="492"/>
      <c r="D53" s="492"/>
      <c r="E53" s="492">
        <v>1943100</v>
      </c>
      <c r="F53" s="492">
        <v>1943100</v>
      </c>
      <c r="G53" s="492"/>
      <c r="H53" s="492"/>
      <c r="I53" s="492"/>
      <c r="J53" s="732"/>
    </row>
    <row r="54" spans="1:10" ht="24.75" customHeight="1" hidden="1">
      <c r="A54" s="473" t="s">
        <v>621</v>
      </c>
      <c r="B54" s="492"/>
      <c r="C54" s="492"/>
      <c r="D54" s="492"/>
      <c r="E54" s="492"/>
      <c r="F54" s="492"/>
      <c r="G54" s="909"/>
      <c r="H54" s="492"/>
      <c r="I54" s="492"/>
      <c r="J54" s="732"/>
    </row>
    <row r="55" spans="1:10" ht="24.75" customHeight="1" hidden="1">
      <c r="A55" s="473" t="s">
        <v>435</v>
      </c>
      <c r="B55" s="492"/>
      <c r="C55" s="492"/>
      <c r="D55" s="492"/>
      <c r="E55" s="492"/>
      <c r="F55" s="492"/>
      <c r="G55" s="492"/>
      <c r="H55" s="492"/>
      <c r="I55" s="492"/>
      <c r="J55" s="732" t="e">
        <f>H55/G55</f>
        <v>#DIV/0!</v>
      </c>
    </row>
    <row r="56" spans="1:10" ht="24.75" customHeight="1" hidden="1">
      <c r="A56" s="473" t="s">
        <v>434</v>
      </c>
      <c r="B56" s="492"/>
      <c r="C56" s="492"/>
      <c r="D56" s="492"/>
      <c r="E56" s="492"/>
      <c r="F56" s="492"/>
      <c r="G56" s="492"/>
      <c r="H56" s="492"/>
      <c r="I56" s="492"/>
      <c r="J56" s="732" t="e">
        <f>H56/G56</f>
        <v>#DIV/0!</v>
      </c>
    </row>
    <row r="57" spans="1:10" ht="24.75" customHeight="1" hidden="1">
      <c r="A57" s="473" t="s">
        <v>438</v>
      </c>
      <c r="B57" s="492"/>
      <c r="C57" s="492"/>
      <c r="D57" s="492"/>
      <c r="E57" s="492"/>
      <c r="F57" s="492"/>
      <c r="G57" s="492"/>
      <c r="H57" s="492"/>
      <c r="I57" s="492"/>
      <c r="J57" s="732"/>
    </row>
    <row r="58" spans="1:10" ht="24.75" customHeight="1" hidden="1">
      <c r="A58" s="473" t="s">
        <v>622</v>
      </c>
      <c r="B58" s="492"/>
      <c r="C58" s="492"/>
      <c r="D58" s="492"/>
      <c r="E58" s="492"/>
      <c r="F58" s="492"/>
      <c r="G58" s="492"/>
      <c r="H58" s="492"/>
      <c r="I58" s="492"/>
      <c r="J58" s="732"/>
    </row>
    <row r="59" spans="1:10" ht="24.75" customHeight="1" hidden="1">
      <c r="A59" s="473" t="s">
        <v>491</v>
      </c>
      <c r="B59" s="492"/>
      <c r="C59" s="492"/>
      <c r="D59" s="492"/>
      <c r="E59" s="492"/>
      <c r="F59" s="492"/>
      <c r="G59" s="492"/>
      <c r="H59" s="492"/>
      <c r="I59" s="492"/>
      <c r="J59" s="732"/>
    </row>
    <row r="60" spans="1:12" s="475" customFormat="1" ht="26.25" customHeight="1" thickBot="1">
      <c r="A60" s="481" t="s">
        <v>24</v>
      </c>
      <c r="B60" s="493">
        <f>B16+B20+B40+B41+B46+B47</f>
        <v>274627404</v>
      </c>
      <c r="C60" s="493">
        <f>C16+C20+C40+C41+C46+C47+C49</f>
        <v>280536740</v>
      </c>
      <c r="D60" s="493">
        <f>D16+D20+D40+D41+D46+D47+D49+D51</f>
        <v>283973825</v>
      </c>
      <c r="E60" s="493">
        <f>E16+E20+E40+E41+E46+E47+E49+E52+E53+E51+E54+E58+E48</f>
        <v>297371818</v>
      </c>
      <c r="F60" s="493">
        <f>F16+F20+F40+F41+F46+F47+F49+F52+F53+F51+F54+F58+F48</f>
        <v>304713360</v>
      </c>
      <c r="G60" s="493"/>
      <c r="H60" s="493">
        <f>H16+H20+H40+H41+H46</f>
        <v>0</v>
      </c>
      <c r="I60" s="493">
        <f>I16+I20+I40+I41+I46</f>
        <v>0</v>
      </c>
      <c r="J60" s="493" t="e">
        <f>J16+J20+J40+J41+J46</f>
        <v>#DIV/0!</v>
      </c>
      <c r="K60" s="702"/>
      <c r="L60" s="702"/>
    </row>
    <row r="61" ht="15" hidden="1">
      <c r="B61" s="750">
        <f>'3.sz.m Önk  bev.'!E33</f>
        <v>274627404</v>
      </c>
    </row>
    <row r="62" ht="15" hidden="1">
      <c r="B62" s="750">
        <f>B60-B61</f>
        <v>0</v>
      </c>
    </row>
    <row r="63" spans="2:5" ht="15">
      <c r="B63" s="750"/>
      <c r="C63" s="750"/>
      <c r="E63" s="750"/>
    </row>
    <row r="64" spans="2:7" ht="15">
      <c r="B64" s="750"/>
      <c r="D64" s="750"/>
      <c r="E64" s="750"/>
      <c r="F64" s="750"/>
      <c r="G64" s="750"/>
    </row>
    <row r="65" spans="2:7" ht="15">
      <c r="B65" s="750"/>
      <c r="C65" s="750"/>
      <c r="D65" s="750"/>
      <c r="F65" s="750"/>
      <c r="G65" s="750"/>
    </row>
    <row r="67" ht="15">
      <c r="D67" s="750"/>
    </row>
  </sheetData>
  <sheetProtection/>
  <mergeCells count="6">
    <mergeCell ref="J6:J13"/>
    <mergeCell ref="J17:J18"/>
    <mergeCell ref="J21:J36"/>
    <mergeCell ref="A2:G2"/>
    <mergeCell ref="A1:G1"/>
    <mergeCell ref="B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9"/>
  <sheetViews>
    <sheetView workbookViewId="0" topLeftCell="A1">
      <selection activeCell="K2" sqref="K2"/>
    </sheetView>
  </sheetViews>
  <sheetFormatPr defaultColWidth="9.140625" defaultRowHeight="12.75"/>
  <cols>
    <col min="1" max="1" width="5.8515625" style="1363" customWidth="1"/>
    <col min="2" max="2" width="42.57421875" style="1362" customWidth="1"/>
    <col min="3" max="8" width="11.00390625" style="1362" customWidth="1"/>
    <col min="9" max="9" width="12.28125" style="1362" customWidth="1"/>
    <col min="10" max="10" width="2.8515625" style="1362" customWidth="1"/>
    <col min="11" max="16384" width="9.140625" style="1362" customWidth="1"/>
  </cols>
  <sheetData>
    <row r="1" spans="1:9" ht="27.75" customHeight="1">
      <c r="A1" s="1332" t="s">
        <v>570</v>
      </c>
      <c r="B1" s="1332"/>
      <c r="C1" s="1332"/>
      <c r="D1" s="1332"/>
      <c r="E1" s="1332"/>
      <c r="F1" s="1332"/>
      <c r="G1" s="1332"/>
      <c r="H1" s="1332"/>
      <c r="I1" s="1332"/>
    </row>
    <row r="2" ht="20.25" customHeight="1" thickBot="1">
      <c r="I2" s="1364" t="str">
        <f>'[1]1. sz tájékoztató t.'!E2</f>
        <v>Forintban!</v>
      </c>
    </row>
    <row r="3" spans="1:9" s="1371" customFormat="1" ht="26.25" customHeight="1">
      <c r="A3" s="1365" t="s">
        <v>571</v>
      </c>
      <c r="B3" s="1366" t="s">
        <v>572</v>
      </c>
      <c r="C3" s="1365" t="s">
        <v>573</v>
      </c>
      <c r="D3" s="1367" t="s">
        <v>647</v>
      </c>
      <c r="E3" s="1368" t="s">
        <v>574</v>
      </c>
      <c r="F3" s="1369"/>
      <c r="G3" s="1369"/>
      <c r="H3" s="1370"/>
      <c r="I3" s="1366" t="s">
        <v>1</v>
      </c>
    </row>
    <row r="4" spans="1:9" s="1377" customFormat="1" ht="32.25" customHeight="1" thickBot="1">
      <c r="A4" s="1372"/>
      <c r="B4" s="1373"/>
      <c r="C4" s="1373"/>
      <c r="D4" s="1374"/>
      <c r="E4" s="1375" t="s">
        <v>594</v>
      </c>
      <c r="F4" s="1375" t="s">
        <v>595</v>
      </c>
      <c r="G4" s="1375" t="s">
        <v>681</v>
      </c>
      <c r="H4" s="1376" t="s">
        <v>682</v>
      </c>
      <c r="I4" s="1373"/>
    </row>
    <row r="5" spans="1:9" s="1383" customFormat="1" ht="12.75" customHeight="1" thickBot="1">
      <c r="A5" s="1378" t="s">
        <v>575</v>
      </c>
      <c r="B5" s="1379" t="s">
        <v>14</v>
      </c>
      <c r="C5" s="1380" t="s">
        <v>576</v>
      </c>
      <c r="D5" s="1379" t="s">
        <v>577</v>
      </c>
      <c r="E5" s="1378" t="s">
        <v>578</v>
      </c>
      <c r="F5" s="1380" t="s">
        <v>15</v>
      </c>
      <c r="G5" s="1380" t="s">
        <v>579</v>
      </c>
      <c r="H5" s="1381" t="s">
        <v>558</v>
      </c>
      <c r="I5" s="1382" t="s">
        <v>580</v>
      </c>
    </row>
    <row r="6" spans="1:9" ht="24.75" customHeight="1" thickBot="1">
      <c r="A6" s="917" t="s">
        <v>26</v>
      </c>
      <c r="B6" s="917" t="s">
        <v>581</v>
      </c>
      <c r="C6" s="1384"/>
      <c r="D6" s="1385">
        <f>+D7+D8</f>
        <v>0</v>
      </c>
      <c r="E6" s="1386">
        <f>+E7+E8</f>
        <v>0</v>
      </c>
      <c r="F6" s="1387">
        <f>+F7+F8</f>
        <v>0</v>
      </c>
      <c r="G6" s="1387">
        <f>+G7+G8</f>
        <v>0</v>
      </c>
      <c r="H6" s="1388">
        <f>+H7+H8</f>
        <v>0</v>
      </c>
      <c r="I6" s="1389">
        <f aca="true" t="shared" si="0" ref="I6:I28">SUM(D6:H6)</f>
        <v>0</v>
      </c>
    </row>
    <row r="7" spans="1:10" ht="19.5" customHeight="1">
      <c r="A7" s="1390" t="s">
        <v>27</v>
      </c>
      <c r="B7" s="1390" t="s">
        <v>582</v>
      </c>
      <c r="C7" s="1391"/>
      <c r="D7" s="1392"/>
      <c r="E7" s="1393"/>
      <c r="F7" s="1394"/>
      <c r="G7" s="1394"/>
      <c r="H7" s="1395"/>
      <c r="I7" s="1396">
        <f t="shared" si="0"/>
        <v>0</v>
      </c>
      <c r="J7" s="1331"/>
    </row>
    <row r="8" spans="1:10" ht="19.5" customHeight="1" thickBot="1">
      <c r="A8" s="1390" t="s">
        <v>9</v>
      </c>
      <c r="B8" s="1390" t="s">
        <v>582</v>
      </c>
      <c r="C8" s="1391"/>
      <c r="D8" s="1392"/>
      <c r="E8" s="1393"/>
      <c r="F8" s="1394"/>
      <c r="G8" s="1394"/>
      <c r="H8" s="1395"/>
      <c r="I8" s="1396">
        <f t="shared" si="0"/>
        <v>0</v>
      </c>
      <c r="J8" s="1331"/>
    </row>
    <row r="9" spans="1:10" ht="25.5" customHeight="1" thickBot="1">
      <c r="A9" s="917" t="s">
        <v>10</v>
      </c>
      <c r="B9" s="917" t="s">
        <v>583</v>
      </c>
      <c r="C9" s="1384"/>
      <c r="D9" s="1385">
        <f>+D10+D11</f>
        <v>0</v>
      </c>
      <c r="E9" s="1386">
        <f>+E10+E11</f>
        <v>2280633</v>
      </c>
      <c r="F9" s="1387">
        <f>+F10+F11</f>
        <v>0</v>
      </c>
      <c r="G9" s="1387">
        <f>+G10+G11</f>
        <v>0</v>
      </c>
      <c r="H9" s="1388">
        <f>+H10+H11</f>
        <v>0</v>
      </c>
      <c r="I9" s="1389">
        <f t="shared" si="0"/>
        <v>2280633</v>
      </c>
      <c r="J9" s="1331"/>
    </row>
    <row r="10" spans="1:10" ht="19.5" customHeight="1">
      <c r="A10" s="1390" t="s">
        <v>11</v>
      </c>
      <c r="B10" s="1390" t="s">
        <v>599</v>
      </c>
      <c r="C10" s="1391"/>
      <c r="D10" s="1392"/>
      <c r="E10" s="1393">
        <f>+'11. sz adósság kötelezettség'!C7</f>
        <v>2280633</v>
      </c>
      <c r="F10" s="1394">
        <f>+'11. sz adósság kötelezettség'!D7</f>
        <v>0</v>
      </c>
      <c r="G10" s="1394"/>
      <c r="H10" s="1395"/>
      <c r="I10" s="1396">
        <f t="shared" si="0"/>
        <v>2280633</v>
      </c>
      <c r="J10" s="1331"/>
    </row>
    <row r="11" spans="1:10" ht="19.5" customHeight="1" thickBot="1">
      <c r="A11" s="1390" t="s">
        <v>12</v>
      </c>
      <c r="B11" s="1390" t="s">
        <v>582</v>
      </c>
      <c r="C11" s="1391"/>
      <c r="D11" s="1392"/>
      <c r="E11" s="1393"/>
      <c r="F11" s="1394"/>
      <c r="G11" s="1394"/>
      <c r="H11" s="1395"/>
      <c r="I11" s="1396">
        <f t="shared" si="0"/>
        <v>0</v>
      </c>
      <c r="J11" s="1331"/>
    </row>
    <row r="12" spans="1:10" ht="19.5" customHeight="1" thickBot="1">
      <c r="A12" s="917" t="s">
        <v>13</v>
      </c>
      <c r="B12" s="917" t="s">
        <v>584</v>
      </c>
      <c r="C12" s="1384"/>
      <c r="D12" s="1385">
        <f>SUM(D13:D16)</f>
        <v>68931368</v>
      </c>
      <c r="E12" s="1386">
        <f>SUM(E13:E16)</f>
        <v>34003421</v>
      </c>
      <c r="F12" s="1387">
        <f>SUM(F13:F17)</f>
        <v>29164623</v>
      </c>
      <c r="G12" s="1387">
        <f>SUM(G13:G17)</f>
        <v>0</v>
      </c>
      <c r="H12" s="1388">
        <f>SUM(H13:H17)</f>
        <v>0</v>
      </c>
      <c r="I12" s="1389">
        <f>SUM(D12:H12)</f>
        <v>132099412</v>
      </c>
      <c r="J12" s="1331"/>
    </row>
    <row r="13" spans="1:10" ht="79.5" customHeight="1">
      <c r="A13" s="915" t="s">
        <v>56</v>
      </c>
      <c r="B13" s="915" t="s">
        <v>623</v>
      </c>
      <c r="C13" s="1397" t="s">
        <v>585</v>
      </c>
      <c r="D13" s="1398"/>
      <c r="E13" s="1399">
        <v>24439880</v>
      </c>
      <c r="F13" s="1399"/>
      <c r="G13" s="1399"/>
      <c r="H13" s="1400"/>
      <c r="I13" s="1401">
        <f t="shared" si="0"/>
        <v>24439880</v>
      </c>
      <c r="J13" s="1331"/>
    </row>
    <row r="14" spans="1:10" ht="22.5" hidden="1">
      <c r="A14" s="916" t="s">
        <v>57</v>
      </c>
      <c r="B14" s="916" t="s">
        <v>586</v>
      </c>
      <c r="C14" s="1402" t="s">
        <v>585</v>
      </c>
      <c r="D14" s="1403"/>
      <c r="E14" s="1404"/>
      <c r="F14" s="1405"/>
      <c r="G14" s="1405"/>
      <c r="H14" s="1406"/>
      <c r="I14" s="1396">
        <f t="shared" si="0"/>
        <v>0</v>
      </c>
      <c r="J14" s="1331"/>
    </row>
    <row r="15" spans="1:10" ht="12.75">
      <c r="A15" s="916" t="s">
        <v>57</v>
      </c>
      <c r="B15" s="916" t="s">
        <v>587</v>
      </c>
      <c r="C15" s="1402" t="s">
        <v>585</v>
      </c>
      <c r="D15" s="1403">
        <f>1536700+76958209-9563541</f>
        <v>68931368</v>
      </c>
      <c r="E15" s="1404">
        <f>+'7.a.sz.m.fejlesztés (4)'!D11</f>
        <v>9563541</v>
      </c>
      <c r="F15" s="1405"/>
      <c r="G15" s="1405"/>
      <c r="H15" s="1406"/>
      <c r="I15" s="1396">
        <f t="shared" si="0"/>
        <v>78494909</v>
      </c>
      <c r="J15" s="1331"/>
    </row>
    <row r="16" spans="1:10" ht="12.75">
      <c r="A16" s="916" t="s">
        <v>397</v>
      </c>
      <c r="B16" s="1390" t="str">
        <f>+'7.a.sz.m.fejlesztés (4)'!B20</f>
        <v>MFP Vicai faluház újraépítése</v>
      </c>
      <c r="C16" s="1402"/>
      <c r="D16" s="1392"/>
      <c r="E16" s="1393"/>
      <c r="F16" s="1405">
        <f>+'7.a.sz.m.fejlesztés (4)'!H20</f>
        <v>29164623</v>
      </c>
      <c r="G16" s="1405"/>
      <c r="H16" s="1406"/>
      <c r="I16" s="1396">
        <f t="shared" si="0"/>
        <v>29164623</v>
      </c>
      <c r="J16" s="1331"/>
    </row>
    <row r="17" spans="1:10" ht="13.5" thickBot="1">
      <c r="A17" s="1390" t="s">
        <v>418</v>
      </c>
      <c r="B17" s="1407" t="s">
        <v>582</v>
      </c>
      <c r="C17" s="1408"/>
      <c r="D17" s="1409"/>
      <c r="E17" s="1410"/>
      <c r="F17" s="1411"/>
      <c r="G17" s="1411"/>
      <c r="H17" s="1412"/>
      <c r="I17" s="1413">
        <f t="shared" si="0"/>
        <v>0</v>
      </c>
      <c r="J17" s="1331"/>
    </row>
    <row r="18" spans="1:10" ht="19.5" customHeight="1" thickBot="1">
      <c r="A18" s="917" t="s">
        <v>419</v>
      </c>
      <c r="B18" s="917" t="s">
        <v>588</v>
      </c>
      <c r="C18" s="1384"/>
      <c r="D18" s="1385">
        <f>SUM(D19:D21)</f>
        <v>110999152</v>
      </c>
      <c r="E18" s="1414">
        <f>SUM(E19:E24)</f>
        <v>57270828</v>
      </c>
      <c r="F18" s="1415">
        <f>SUM(F19:F24)</f>
        <v>109539399</v>
      </c>
      <c r="G18" s="1415">
        <f>SUM(G19:G24)</f>
        <v>0</v>
      </c>
      <c r="H18" s="1416">
        <f>SUM(H19:H24)</f>
        <v>0</v>
      </c>
      <c r="I18" s="1389">
        <f t="shared" si="0"/>
        <v>277809379</v>
      </c>
      <c r="J18" s="1331"/>
    </row>
    <row r="19" spans="1:10" ht="28.5" customHeight="1">
      <c r="A19" s="1417" t="s">
        <v>421</v>
      </c>
      <c r="B19" s="1417" t="s">
        <v>589</v>
      </c>
      <c r="C19" s="1418" t="s">
        <v>585</v>
      </c>
      <c r="D19" s="1419">
        <f>3810000+127117705+2260600-22189156+3</f>
        <v>110999152</v>
      </c>
      <c r="E19" s="1414">
        <f>+'7.a.sz.m.fejlesztés (4)'!D37</f>
        <v>22189156</v>
      </c>
      <c r="F19" s="1415"/>
      <c r="G19" s="1415"/>
      <c r="H19" s="1416"/>
      <c r="I19" s="1401">
        <f aca="true" t="shared" si="1" ref="I19:I24">SUM(D19:H19)</f>
        <v>133188308</v>
      </c>
      <c r="J19" s="1331"/>
    </row>
    <row r="20" spans="1:10" ht="19.5" customHeight="1" thickBot="1">
      <c r="A20" s="1390" t="s">
        <v>423</v>
      </c>
      <c r="B20" s="916" t="s">
        <v>597</v>
      </c>
      <c r="C20" s="1391" t="s">
        <v>596</v>
      </c>
      <c r="D20" s="1392"/>
      <c r="E20" s="1393">
        <f>+'7.a.sz.m.fejlesztés (4)'!H40</f>
        <v>32541672</v>
      </c>
      <c r="F20" s="1394"/>
      <c r="G20" s="1394"/>
      <c r="H20" s="1395"/>
      <c r="I20" s="1396">
        <f t="shared" si="1"/>
        <v>32541672</v>
      </c>
      <c r="J20" s="1331"/>
    </row>
    <row r="21" spans="1:10" ht="19.5" customHeight="1" thickBot="1">
      <c r="A21" s="1417" t="s">
        <v>425</v>
      </c>
      <c r="B21" s="1417" t="s">
        <v>624</v>
      </c>
      <c r="C21" s="1418" t="s">
        <v>683</v>
      </c>
      <c r="D21" s="1419"/>
      <c r="E21" s="1414">
        <v>2540000</v>
      </c>
      <c r="F21" s="1415"/>
      <c r="G21" s="1415"/>
      <c r="H21" s="1416"/>
      <c r="I21" s="1401">
        <f t="shared" si="1"/>
        <v>2540000</v>
      </c>
      <c r="J21" s="1331"/>
    </row>
    <row r="22" spans="1:10" ht="19.5" customHeight="1">
      <c r="A22" s="1417" t="s">
        <v>590</v>
      </c>
      <c r="B22" s="1417" t="str">
        <f>+'7.a.sz.m.fejlesztés (4)'!B47</f>
        <v>MFP - Egészségház felújítása</v>
      </c>
      <c r="C22" s="1418"/>
      <c r="D22" s="1419"/>
      <c r="E22" s="1414"/>
      <c r="F22" s="1415">
        <f>+'7.a.sz.m.fejlesztés (4)'!H47</f>
        <v>76185600</v>
      </c>
      <c r="G22" s="1415"/>
      <c r="H22" s="1416"/>
      <c r="I22" s="1396">
        <f t="shared" si="1"/>
        <v>76185600</v>
      </c>
      <c r="J22" s="1331"/>
    </row>
    <row r="23" spans="1:10" ht="19.5" customHeight="1">
      <c r="A23" s="1390" t="s">
        <v>591</v>
      </c>
      <c r="B23" s="916" t="str">
        <f>+'7.a.sz.m.fejlesztés (4)'!B49</f>
        <v>MFP útfelújítás</v>
      </c>
      <c r="C23" s="1391"/>
      <c r="D23" s="1392"/>
      <c r="E23" s="1393"/>
      <c r="F23" s="1394">
        <f>+'7.a.sz.m.fejlesztés (4)'!H49</f>
        <v>28551400</v>
      </c>
      <c r="G23" s="1394"/>
      <c r="H23" s="1395"/>
      <c r="I23" s="1396">
        <f t="shared" si="1"/>
        <v>28551400</v>
      </c>
      <c r="J23" s="1331"/>
    </row>
    <row r="24" spans="1:10" ht="19.5" customHeight="1" thickBot="1">
      <c r="A24" s="1390" t="s">
        <v>593</v>
      </c>
      <c r="B24" s="916" t="str">
        <f>+'7.a.sz.m.fejlesztés (4)'!B50</f>
        <v>MFP óvodaudvar - kerítésfelújítás</v>
      </c>
      <c r="C24" s="1391"/>
      <c r="D24" s="1392"/>
      <c r="E24" s="1393"/>
      <c r="F24" s="1394">
        <f>+'7.a.sz.m.fejlesztés (4)'!H50</f>
        <v>4802399</v>
      </c>
      <c r="G24" s="1394"/>
      <c r="H24" s="1395"/>
      <c r="I24" s="1396">
        <f t="shared" si="1"/>
        <v>4802399</v>
      </c>
      <c r="J24" s="1331"/>
    </row>
    <row r="25" spans="1:10" ht="19.5" customHeight="1" hidden="1" thickBot="1">
      <c r="A25" s="1390"/>
      <c r="B25" s="916"/>
      <c r="C25" s="1391"/>
      <c r="D25" s="1392"/>
      <c r="E25" s="1393"/>
      <c r="F25" s="1394"/>
      <c r="G25" s="1394"/>
      <c r="H25" s="1395"/>
      <c r="I25" s="1396"/>
      <c r="J25" s="1331"/>
    </row>
    <row r="26" spans="1:10" ht="19.5" customHeight="1" thickBot="1">
      <c r="A26" s="917" t="s">
        <v>725</v>
      </c>
      <c r="B26" s="917" t="s">
        <v>592</v>
      </c>
      <c r="C26" s="1384"/>
      <c r="D26" s="1385">
        <f>+D27</f>
        <v>17893857</v>
      </c>
      <c r="E26" s="1386">
        <f>+E27</f>
        <v>58081000</v>
      </c>
      <c r="F26" s="1387">
        <f>+F27</f>
        <v>18973144</v>
      </c>
      <c r="G26" s="1387">
        <f>+G28</f>
        <v>0</v>
      </c>
      <c r="H26" s="1388">
        <f>+H28</f>
        <v>0</v>
      </c>
      <c r="I26" s="1389">
        <f t="shared" si="0"/>
        <v>94948001</v>
      </c>
      <c r="J26" s="1331"/>
    </row>
    <row r="27" spans="1:10" ht="26.25" customHeight="1">
      <c r="A27" s="918" t="s">
        <v>726</v>
      </c>
      <c r="B27" s="1390" t="s">
        <v>690</v>
      </c>
      <c r="C27" s="1397"/>
      <c r="D27" s="1420">
        <f>+'16. sz. m. EU '!H36</f>
        <v>17893857</v>
      </c>
      <c r="E27" s="1421">
        <f>+'16. sz. m. EU '!I36</f>
        <v>58081000</v>
      </c>
      <c r="F27" s="1422">
        <f>+'16. sz. m. EU '!J36</f>
        <v>18973144</v>
      </c>
      <c r="G27" s="1422"/>
      <c r="H27" s="1423"/>
      <c r="I27" s="1424">
        <f t="shared" si="0"/>
        <v>94948001</v>
      </c>
      <c r="J27" s="1331"/>
    </row>
    <row r="28" spans="1:10" ht="20.25" customHeight="1" thickBot="1">
      <c r="A28" s="1390" t="s">
        <v>727</v>
      </c>
      <c r="B28" s="1390" t="s">
        <v>582</v>
      </c>
      <c r="C28" s="1425"/>
      <c r="D28" s="1426"/>
      <c r="E28" s="1427"/>
      <c r="F28" s="1428"/>
      <c r="G28" s="1428"/>
      <c r="H28" s="1429"/>
      <c r="I28" s="1413">
        <f t="shared" si="0"/>
        <v>0</v>
      </c>
      <c r="J28" s="1331"/>
    </row>
    <row r="29" spans="1:10" ht="19.5" customHeight="1" thickBot="1">
      <c r="A29" s="1430" t="s">
        <v>598</v>
      </c>
      <c r="B29" s="1431"/>
      <c r="C29" s="1432"/>
      <c r="D29" s="1385">
        <f aca="true" t="shared" si="2" ref="D29:I29">+D6+D9+D12+D18+D26</f>
        <v>197824377</v>
      </c>
      <c r="E29" s="1386">
        <f t="shared" si="2"/>
        <v>151635882</v>
      </c>
      <c r="F29" s="1387">
        <f t="shared" si="2"/>
        <v>157677166</v>
      </c>
      <c r="G29" s="1387">
        <f t="shared" si="2"/>
        <v>0</v>
      </c>
      <c r="H29" s="1388">
        <f t="shared" si="2"/>
        <v>0</v>
      </c>
      <c r="I29" s="1389">
        <f t="shared" si="2"/>
        <v>507137425</v>
      </c>
      <c r="J29" s="1331"/>
    </row>
  </sheetData>
  <sheetProtection/>
  <mergeCells count="9">
    <mergeCell ref="J7:J29"/>
    <mergeCell ref="A29:B29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82" r:id="rId1"/>
  <headerFooter alignWithMargins="0">
    <oddHeader>&amp;R15.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55.57421875" style="888" customWidth="1"/>
    <col min="2" max="2" width="27.7109375" style="888" customWidth="1"/>
    <col min="3" max="3" width="11.140625" style="976" customWidth="1"/>
    <col min="4" max="4" width="12.28125" style="976" hidden="1" customWidth="1"/>
    <col min="5" max="5" width="26.8515625" style="977" customWidth="1"/>
    <col min="6" max="8" width="12.00390625" style="977" customWidth="1"/>
    <col min="9" max="9" width="12.140625" style="977" customWidth="1"/>
    <col min="10" max="10" width="12.140625" style="0" hidden="1" customWidth="1"/>
    <col min="11" max="11" width="11.8515625" style="977" customWidth="1"/>
    <col min="12" max="12" width="11.00390625" style="977" customWidth="1"/>
    <col min="13" max="13" width="12.140625" style="977" customWidth="1"/>
    <col min="14" max="16384" width="9.140625" style="977" customWidth="1"/>
  </cols>
  <sheetData>
    <row r="1" spans="5:11" ht="12.75">
      <c r="E1" s="1346"/>
      <c r="F1" s="1346"/>
      <c r="G1" s="1346"/>
      <c r="H1" s="1346"/>
      <c r="I1" s="1346"/>
      <c r="J1" s="1346"/>
      <c r="K1" s="1346"/>
    </row>
    <row r="2" spans="2:11" ht="12.75">
      <c r="B2" s="1347" t="s">
        <v>728</v>
      </c>
      <c r="C2" s="1347"/>
      <c r="D2" s="1347"/>
      <c r="E2" s="1347"/>
      <c r="F2" s="1347"/>
      <c r="G2" s="1347"/>
      <c r="H2" s="1347"/>
      <c r="I2" s="1347"/>
      <c r="J2" s="1347"/>
      <c r="K2" s="1347"/>
    </row>
    <row r="3" spans="1:11" ht="26.25" customHeight="1">
      <c r="A3" s="1348" t="s">
        <v>625</v>
      </c>
      <c r="B3" s="1348"/>
      <c r="C3" s="1348"/>
      <c r="D3" s="1348"/>
      <c r="E3" s="1348"/>
      <c r="F3" s="1348"/>
      <c r="G3" s="1348"/>
      <c r="H3" s="1348"/>
      <c r="I3" s="1348"/>
      <c r="J3" s="1348"/>
      <c r="K3" s="1348"/>
    </row>
    <row r="4" spans="1:11" ht="21" customHeight="1">
      <c r="A4" s="1349" t="s">
        <v>521</v>
      </c>
      <c r="B4" s="1349"/>
      <c r="C4" s="1349"/>
      <c r="D4" s="1349"/>
      <c r="E4" s="1349"/>
      <c r="F4" s="1349"/>
      <c r="G4" s="1349"/>
      <c r="H4" s="1349"/>
      <c r="I4" s="1349"/>
      <c r="J4" s="1349"/>
      <c r="K4" s="1349"/>
    </row>
    <row r="5" spans="6:7" ht="32.25" customHeight="1" thickBot="1">
      <c r="F5" s="885" t="s">
        <v>478</v>
      </c>
      <c r="G5" s="885"/>
    </row>
    <row r="6" spans="1:11" s="887" customFormat="1" ht="13.5" thickBot="1">
      <c r="A6" s="886" t="s">
        <v>3</v>
      </c>
      <c r="B6" s="1350" t="s">
        <v>522</v>
      </c>
      <c r="C6" s="1351"/>
      <c r="D6" s="1351"/>
      <c r="E6" s="1350" t="s">
        <v>523</v>
      </c>
      <c r="F6" s="1351"/>
      <c r="G6" s="1351"/>
      <c r="H6" s="1350"/>
      <c r="I6" s="1351"/>
      <c r="J6" s="1351"/>
      <c r="K6" s="1351"/>
    </row>
    <row r="7" spans="3:11" ht="12.75">
      <c r="C7" s="976" t="s">
        <v>724</v>
      </c>
      <c r="E7" s="889"/>
      <c r="F7" s="890">
        <v>2016</v>
      </c>
      <c r="G7" s="890">
        <v>2017</v>
      </c>
      <c r="H7" s="890">
        <v>2018</v>
      </c>
      <c r="I7" s="890">
        <v>2019</v>
      </c>
      <c r="J7" s="890">
        <v>2020</v>
      </c>
      <c r="K7" s="890" t="s">
        <v>1</v>
      </c>
    </row>
    <row r="8" spans="1:11" ht="12.75">
      <c r="A8" s="978"/>
      <c r="B8" s="978"/>
      <c r="C8" s="891"/>
      <c r="D8" s="892" t="s">
        <v>234</v>
      </c>
      <c r="E8" s="979"/>
      <c r="F8" s="891"/>
      <c r="G8" s="891"/>
      <c r="H8" s="891"/>
      <c r="I8" s="891"/>
      <c r="J8" s="891"/>
      <c r="K8" s="891"/>
    </row>
    <row r="9" spans="1:13" ht="20.25" customHeight="1">
      <c r="A9" s="893" t="s">
        <v>544</v>
      </c>
      <c r="B9" s="894" t="s">
        <v>266</v>
      </c>
      <c r="C9" s="980">
        <v>76299528</v>
      </c>
      <c r="D9" s="980">
        <v>17366</v>
      </c>
      <c r="E9" s="895" t="s">
        <v>524</v>
      </c>
      <c r="F9" s="980">
        <f>1524000+915594</f>
        <v>2439594</v>
      </c>
      <c r="G9" s="980">
        <f>-915594+3810000-1524000</f>
        <v>1370406</v>
      </c>
      <c r="H9" s="980">
        <f>70228928+9361240+2527535+45000000+2-19928553-642738</f>
        <v>106546414</v>
      </c>
      <c r="I9" s="980">
        <f>+'15.sz.m.többéves kihatás'!E19+642738</f>
        <v>22831894</v>
      </c>
      <c r="J9" s="980"/>
      <c r="K9" s="980">
        <f>SUM(F9:I9)</f>
        <v>133188308</v>
      </c>
      <c r="M9" s="976"/>
    </row>
    <row r="10" spans="1:11" ht="18" customHeight="1">
      <c r="A10" s="1339" t="s">
        <v>525</v>
      </c>
      <c r="B10" s="1342" t="s">
        <v>532</v>
      </c>
      <c r="C10" s="981">
        <f>+K11-C9</f>
        <v>56888780</v>
      </c>
      <c r="D10" s="981"/>
      <c r="E10" s="896"/>
      <c r="F10" s="896"/>
      <c r="G10" s="896"/>
      <c r="H10" s="896"/>
      <c r="I10" s="896"/>
      <c r="J10" s="896"/>
      <c r="K10" s="896"/>
    </row>
    <row r="11" spans="1:11" ht="18.75" customHeight="1" thickBot="1">
      <c r="A11" s="1341"/>
      <c r="B11" s="1343"/>
      <c r="C11" s="982">
        <f>C9+C10</f>
        <v>133188308</v>
      </c>
      <c r="D11" s="982">
        <v>17366</v>
      </c>
      <c r="E11" s="983" t="s">
        <v>527</v>
      </c>
      <c r="F11" s="982">
        <f>F9+F10</f>
        <v>2439594</v>
      </c>
      <c r="G11" s="982">
        <f>G9+G10</f>
        <v>1370406</v>
      </c>
      <c r="H11" s="982">
        <f>H9+H10</f>
        <v>106546414</v>
      </c>
      <c r="I11" s="982">
        <f>I9+I10</f>
        <v>22831894</v>
      </c>
      <c r="J11" s="982"/>
      <c r="K11" s="982">
        <f>K9+K10</f>
        <v>133188308</v>
      </c>
    </row>
    <row r="12" spans="1:7" ht="12" customHeight="1">
      <c r="A12" s="897"/>
      <c r="F12" s="976"/>
      <c r="G12" s="976"/>
    </row>
    <row r="14" spans="1:13" ht="12.75" hidden="1">
      <c r="A14" s="898" t="s">
        <v>545</v>
      </c>
      <c r="B14" s="899" t="s">
        <v>266</v>
      </c>
      <c r="C14" s="984"/>
      <c r="D14" s="984"/>
      <c r="E14" s="900" t="s">
        <v>524</v>
      </c>
      <c r="F14" s="984"/>
      <c r="G14" s="984"/>
      <c r="H14" s="984"/>
      <c r="I14" s="984"/>
      <c r="J14" s="984"/>
      <c r="K14" s="984">
        <f>SUM(F14:I14)</f>
        <v>0</v>
      </c>
      <c r="L14" s="976"/>
      <c r="M14" s="976"/>
    </row>
    <row r="15" spans="1:11" ht="12.75" hidden="1">
      <c r="A15" s="1339" t="s">
        <v>528</v>
      </c>
      <c r="B15" s="1342" t="s">
        <v>532</v>
      </c>
      <c r="C15" s="1344"/>
      <c r="D15" s="1344"/>
      <c r="E15" s="1337"/>
      <c r="F15" s="1337"/>
      <c r="G15" s="1337"/>
      <c r="H15" s="1337"/>
      <c r="I15" s="1337"/>
      <c r="J15" s="995"/>
      <c r="K15" s="1337"/>
    </row>
    <row r="16" spans="1:11" ht="12.75" hidden="1">
      <c r="A16" s="1340"/>
      <c r="B16" s="1343"/>
      <c r="C16" s="1345"/>
      <c r="D16" s="1345"/>
      <c r="E16" s="1338"/>
      <c r="F16" s="1338"/>
      <c r="G16" s="1338"/>
      <c r="H16" s="1338"/>
      <c r="I16" s="1338"/>
      <c r="J16" s="996"/>
      <c r="K16" s="1338"/>
    </row>
    <row r="17" spans="1:11" ht="13.5" hidden="1" thickBot="1">
      <c r="A17" s="1341"/>
      <c r="B17" s="987" t="s">
        <v>526</v>
      </c>
      <c r="C17" s="982">
        <f>+C14+C15</f>
        <v>0</v>
      </c>
      <c r="D17" s="982"/>
      <c r="E17" s="983" t="s">
        <v>527</v>
      </c>
      <c r="F17" s="982">
        <f>F14+F16</f>
        <v>0</v>
      </c>
      <c r="G17" s="982">
        <f>G14+G16</f>
        <v>0</v>
      </c>
      <c r="H17" s="982">
        <f>H14+H16</f>
        <v>0</v>
      </c>
      <c r="I17" s="982">
        <f>I14+I16</f>
        <v>0</v>
      </c>
      <c r="J17" s="982"/>
      <c r="K17" s="982">
        <f>K14+K16</f>
        <v>0</v>
      </c>
    </row>
    <row r="18" spans="1:7" ht="12.75">
      <c r="A18" s="897"/>
      <c r="B18" s="988"/>
      <c r="F18" s="976"/>
      <c r="G18" s="976"/>
    </row>
    <row r="19" ht="13.5" thickBot="1"/>
    <row r="20" spans="1:13" ht="12.75">
      <c r="A20" s="901" t="s">
        <v>546</v>
      </c>
      <c r="B20" s="902" t="s">
        <v>529</v>
      </c>
      <c r="C20" s="903">
        <f>57551464-636387</f>
        <v>56915077</v>
      </c>
      <c r="D20" s="903"/>
      <c r="E20" s="904" t="s">
        <v>524</v>
      </c>
      <c r="F20" s="984">
        <v>0</v>
      </c>
      <c r="G20" s="984">
        <f>1270000*0.25+2751885*0.8-982308</f>
        <v>1536700</v>
      </c>
      <c r="H20" s="984">
        <f>76958209-9563541-2582000-2015515</f>
        <v>62797153</v>
      </c>
      <c r="I20" s="984">
        <f>+'15.sz.m.többéves kihatás'!E15+2582000+2015515</f>
        <v>14161056</v>
      </c>
      <c r="J20" s="984"/>
      <c r="K20" s="984">
        <f>SUM(F20:I20)</f>
        <v>78494909</v>
      </c>
      <c r="L20" s="976"/>
      <c r="M20" s="976"/>
    </row>
    <row r="21" spans="1:11" ht="12.75">
      <c r="A21" s="1339" t="s">
        <v>530</v>
      </c>
      <c r="B21" s="905"/>
      <c r="C21" s="906"/>
      <c r="D21" s="906"/>
      <c r="E21" s="907"/>
      <c r="F21" s="1337"/>
      <c r="G21" s="1337"/>
      <c r="H21" s="1337"/>
      <c r="I21" s="1337"/>
      <c r="J21" s="995"/>
      <c r="K21" s="1337"/>
    </row>
    <row r="22" spans="1:11" ht="12.75">
      <c r="A22" s="1340"/>
      <c r="B22" s="1342" t="s">
        <v>532</v>
      </c>
      <c r="C22" s="981">
        <f>+K23-C20</f>
        <v>21579832</v>
      </c>
      <c r="D22" s="981"/>
      <c r="E22" s="896"/>
      <c r="F22" s="1338"/>
      <c r="G22" s="1338"/>
      <c r="H22" s="1338"/>
      <c r="I22" s="1338"/>
      <c r="J22" s="996"/>
      <c r="K22" s="1338"/>
    </row>
    <row r="23" spans="1:11" ht="13.5" thickBot="1">
      <c r="A23" s="1341"/>
      <c r="B23" s="1343"/>
      <c r="C23" s="982">
        <f>C21+C22+C20</f>
        <v>78494909</v>
      </c>
      <c r="D23" s="982"/>
      <c r="E23" s="983" t="s">
        <v>527</v>
      </c>
      <c r="F23" s="982">
        <f>F20+F22</f>
        <v>0</v>
      </c>
      <c r="G23" s="982">
        <f>G20+G22</f>
        <v>1536700</v>
      </c>
      <c r="H23" s="982">
        <f>H20+H22</f>
        <v>62797153</v>
      </c>
      <c r="I23" s="982">
        <f>I20+I22</f>
        <v>14161056</v>
      </c>
      <c r="J23" s="982"/>
      <c r="K23" s="982">
        <f>K20+K22</f>
        <v>78494909</v>
      </c>
    </row>
    <row r="25" spans="1:13" ht="12.75" hidden="1">
      <c r="A25" s="898" t="s">
        <v>648</v>
      </c>
      <c r="B25" s="899" t="s">
        <v>266</v>
      </c>
      <c r="C25" s="984"/>
      <c r="D25" s="984"/>
      <c r="E25" s="900" t="s">
        <v>524</v>
      </c>
      <c r="F25" s="984"/>
      <c r="G25" s="984"/>
      <c r="H25" s="984"/>
      <c r="I25" s="984">
        <v>0</v>
      </c>
      <c r="J25" s="984"/>
      <c r="K25" s="984">
        <f>SUM(F25:I25)</f>
        <v>0</v>
      </c>
      <c r="M25" s="976"/>
    </row>
    <row r="26" spans="1:11" ht="12.75" hidden="1">
      <c r="A26" s="1339" t="s">
        <v>531</v>
      </c>
      <c r="B26" s="1342" t="s">
        <v>532</v>
      </c>
      <c r="C26" s="1344"/>
      <c r="D26" s="985"/>
      <c r="E26" s="1337"/>
      <c r="F26" s="1337"/>
      <c r="G26" s="1337"/>
      <c r="H26" s="1337"/>
      <c r="I26" s="1337"/>
      <c r="J26" s="995"/>
      <c r="K26" s="1337"/>
    </row>
    <row r="27" spans="1:11" ht="12.75" hidden="1">
      <c r="A27" s="1340"/>
      <c r="B27" s="1343"/>
      <c r="C27" s="1345"/>
      <c r="D27" s="986"/>
      <c r="E27" s="1338"/>
      <c r="F27" s="1338"/>
      <c r="G27" s="1338"/>
      <c r="H27" s="1338"/>
      <c r="I27" s="1338"/>
      <c r="J27" s="996"/>
      <c r="K27" s="1338"/>
    </row>
    <row r="28" spans="1:11" ht="13.5" hidden="1" thickBot="1">
      <c r="A28" s="1341"/>
      <c r="B28" s="987" t="s">
        <v>526</v>
      </c>
      <c r="C28" s="982">
        <f>C25+C27</f>
        <v>0</v>
      </c>
      <c r="D28" s="982"/>
      <c r="E28" s="983" t="s">
        <v>527</v>
      </c>
      <c r="F28" s="982">
        <f>F25+F27</f>
        <v>0</v>
      </c>
      <c r="G28" s="982">
        <f>G25+G27</f>
        <v>0</v>
      </c>
      <c r="H28" s="982">
        <f>H25+H27</f>
        <v>0</v>
      </c>
      <c r="I28" s="982">
        <f>I25+I27</f>
        <v>0</v>
      </c>
      <c r="J28" s="982"/>
      <c r="K28" s="982">
        <f>K25+K27</f>
        <v>0</v>
      </c>
    </row>
    <row r="29" ht="13.5" thickBot="1"/>
    <row r="30" spans="1:11" ht="12.75">
      <c r="A30" s="898" t="s">
        <v>626</v>
      </c>
      <c r="B30" s="899" t="s">
        <v>266</v>
      </c>
      <c r="C30" s="984">
        <v>19340856</v>
      </c>
      <c r="D30" s="984"/>
      <c r="E30" s="900" t="s">
        <v>524</v>
      </c>
      <c r="F30" s="984"/>
      <c r="G30" s="984"/>
      <c r="H30" s="984"/>
      <c r="I30" s="984">
        <f>+'15.sz.m.többéves kihatás'!E13</f>
        <v>24439880</v>
      </c>
      <c r="J30" s="984"/>
      <c r="K30" s="984">
        <f>SUM(F30:I30)</f>
        <v>24439880</v>
      </c>
    </row>
    <row r="31" spans="1:11" ht="12.75">
      <c r="A31" s="1339" t="s">
        <v>627</v>
      </c>
      <c r="B31" s="1342" t="s">
        <v>532</v>
      </c>
      <c r="C31" s="1344">
        <f>+K30-C30</f>
        <v>5099024</v>
      </c>
      <c r="D31" s="985"/>
      <c r="E31" s="1337"/>
      <c r="F31" s="1337"/>
      <c r="G31" s="1337"/>
      <c r="H31" s="1337"/>
      <c r="I31" s="1337"/>
      <c r="J31" s="995"/>
      <c r="K31" s="1337"/>
    </row>
    <row r="32" spans="1:11" ht="12.75">
      <c r="A32" s="1340"/>
      <c r="B32" s="1343"/>
      <c r="C32" s="1345"/>
      <c r="D32" s="986"/>
      <c r="E32" s="1338"/>
      <c r="F32" s="1338"/>
      <c r="G32" s="1338"/>
      <c r="H32" s="1338"/>
      <c r="I32" s="1338"/>
      <c r="J32" s="996"/>
      <c r="K32" s="1338"/>
    </row>
    <row r="33" spans="1:11" ht="41.25" customHeight="1" thickBot="1">
      <c r="A33" s="1341"/>
      <c r="B33" s="987" t="s">
        <v>526</v>
      </c>
      <c r="C33" s="982">
        <f>C30+C32+C31</f>
        <v>24439880</v>
      </c>
      <c r="D33" s="982"/>
      <c r="E33" s="983" t="s">
        <v>527</v>
      </c>
      <c r="F33" s="982">
        <f>F30+F32</f>
        <v>0</v>
      </c>
      <c r="G33" s="982">
        <f>G30+G32</f>
        <v>0</v>
      </c>
      <c r="H33" s="982">
        <f>H30+H32</f>
        <v>0</v>
      </c>
      <c r="I33" s="982">
        <f>I30+I32</f>
        <v>24439880</v>
      </c>
      <c r="J33" s="982"/>
      <c r="K33" s="982">
        <f>K30+K32</f>
        <v>24439880</v>
      </c>
    </row>
    <row r="35" ht="13.5" thickBot="1"/>
    <row r="36" spans="1:11" ht="12.75">
      <c r="A36" s="1002" t="s">
        <v>688</v>
      </c>
      <c r="B36" s="1001" t="s">
        <v>266</v>
      </c>
      <c r="C36" s="1000">
        <v>94948001</v>
      </c>
      <c r="D36" s="1000">
        <v>17366</v>
      </c>
      <c r="E36" s="999" t="s">
        <v>524</v>
      </c>
      <c r="F36" s="1000"/>
      <c r="G36" s="1000"/>
      <c r="H36" s="1356">
        <v>17893857</v>
      </c>
      <c r="I36" s="1356">
        <v>58081000</v>
      </c>
      <c r="J36" s="1356">
        <f>94948001-I36-H36</f>
        <v>18973144</v>
      </c>
      <c r="K36" s="1357">
        <v>94948001</v>
      </c>
    </row>
    <row r="37" spans="1:11" ht="12.75">
      <c r="A37" s="1335" t="s">
        <v>689</v>
      </c>
      <c r="B37" s="997" t="s">
        <v>532</v>
      </c>
      <c r="C37" s="1003"/>
      <c r="D37" s="1003"/>
      <c r="E37" s="1004"/>
      <c r="F37" s="1004"/>
      <c r="G37" s="1004"/>
      <c r="H37" s="1358"/>
      <c r="I37" s="1358"/>
      <c r="J37" s="1358"/>
      <c r="K37" s="1359"/>
    </row>
    <row r="38" spans="1:11" ht="13.5" thickBot="1">
      <c r="A38" s="1336"/>
      <c r="B38" s="998" t="s">
        <v>526</v>
      </c>
      <c r="C38" s="1005">
        <v>94948001</v>
      </c>
      <c r="D38" s="1005">
        <v>17366</v>
      </c>
      <c r="E38" s="1006" t="s">
        <v>527</v>
      </c>
      <c r="F38" s="1005">
        <v>0</v>
      </c>
      <c r="G38" s="1005">
        <v>0</v>
      </c>
      <c r="H38" s="1360">
        <f>+H36</f>
        <v>17893857</v>
      </c>
      <c r="I38" s="1360">
        <f>+I36</f>
        <v>58081000</v>
      </c>
      <c r="J38" s="1360">
        <f>+J36</f>
        <v>18973144</v>
      </c>
      <c r="K38" s="1360">
        <f>+K36</f>
        <v>94948001</v>
      </c>
    </row>
    <row r="40" ht="13.5" hidden="1" thickBot="1"/>
    <row r="41" spans="1:15" ht="12.75" hidden="1">
      <c r="A41" s="1092" t="s">
        <v>721</v>
      </c>
      <c r="B41" s="1093" t="s">
        <v>266</v>
      </c>
      <c r="C41" s="1094">
        <v>6198000</v>
      </c>
      <c r="D41" s="1094">
        <v>17366</v>
      </c>
      <c r="E41" s="1095" t="s">
        <v>524</v>
      </c>
      <c r="F41" s="1094"/>
      <c r="G41" s="1094"/>
      <c r="H41" s="1094"/>
      <c r="I41" s="1094"/>
      <c r="J41" s="1094"/>
      <c r="K41" s="1096"/>
      <c r="L41" s="1097"/>
      <c r="M41" s="1097"/>
      <c r="N41" s="1097"/>
      <c r="O41" s="1097"/>
    </row>
    <row r="42" spans="1:15" ht="12.75" hidden="1">
      <c r="A42" s="1333" t="s">
        <v>722</v>
      </c>
      <c r="B42" s="1098" t="s">
        <v>532</v>
      </c>
      <c r="C42" s="1099"/>
      <c r="D42" s="1099"/>
      <c r="E42" s="1100"/>
      <c r="F42" s="1100"/>
      <c r="G42" s="1100"/>
      <c r="H42" s="1100"/>
      <c r="I42" s="1100"/>
      <c r="J42" s="1100"/>
      <c r="K42" s="1101"/>
      <c r="L42" s="1097"/>
      <c r="M42" s="1097"/>
      <c r="N42" s="1097"/>
      <c r="O42" s="1097"/>
    </row>
    <row r="43" spans="1:15" ht="13.5" hidden="1" thickBot="1">
      <c r="A43" s="1334"/>
      <c r="B43" s="1102" t="s">
        <v>526</v>
      </c>
      <c r="C43" s="1103"/>
      <c r="D43" s="1103">
        <v>17366</v>
      </c>
      <c r="E43" s="1104" t="s">
        <v>527</v>
      </c>
      <c r="F43" s="1103">
        <v>0</v>
      </c>
      <c r="G43" s="1103">
        <v>0</v>
      </c>
      <c r="H43" s="1103"/>
      <c r="I43" s="1103"/>
      <c r="J43" s="1103"/>
      <c r="K43" s="1105"/>
      <c r="L43" s="1097"/>
      <c r="M43" s="1097"/>
      <c r="N43" s="1097"/>
      <c r="O43" s="1097"/>
    </row>
    <row r="44" ht="12.75" hidden="1"/>
  </sheetData>
  <sheetProtection/>
  <mergeCells count="46">
    <mergeCell ref="B22:B23"/>
    <mergeCell ref="B10:B11"/>
    <mergeCell ref="E1:K1"/>
    <mergeCell ref="B2:K2"/>
    <mergeCell ref="A3:K3"/>
    <mergeCell ref="A4:K4"/>
    <mergeCell ref="B6:D6"/>
    <mergeCell ref="E6:G6"/>
    <mergeCell ref="H6:K6"/>
    <mergeCell ref="A10:A11"/>
    <mergeCell ref="A15:A17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A21:A23"/>
    <mergeCell ref="F21:F22"/>
    <mergeCell ref="G21:G22"/>
    <mergeCell ref="H21:H22"/>
    <mergeCell ref="I21:I22"/>
    <mergeCell ref="K21:K22"/>
    <mergeCell ref="G31:G32"/>
    <mergeCell ref="H26:H27"/>
    <mergeCell ref="I26:I27"/>
    <mergeCell ref="K26:K27"/>
    <mergeCell ref="A26:A28"/>
    <mergeCell ref="B26:B27"/>
    <mergeCell ref="C26:C27"/>
    <mergeCell ref="E26:E27"/>
    <mergeCell ref="F26:F27"/>
    <mergeCell ref="G26:G27"/>
    <mergeCell ref="A42:A43"/>
    <mergeCell ref="A37:A38"/>
    <mergeCell ref="H31:H32"/>
    <mergeCell ref="I31:I32"/>
    <mergeCell ref="K31:K32"/>
    <mergeCell ref="A31:A33"/>
    <mergeCell ref="B31:B32"/>
    <mergeCell ref="C31:C32"/>
    <mergeCell ref="E31:E32"/>
    <mergeCell ref="F31:F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4"/>
  <sheetViews>
    <sheetView zoomScale="55" zoomScaleNormal="55" workbookViewId="0" topLeftCell="A16">
      <selection activeCell="Z46" sqref="Z46"/>
    </sheetView>
  </sheetViews>
  <sheetFormatPr defaultColWidth="9.140625" defaultRowHeight="12.75"/>
  <cols>
    <col min="1" max="1" width="7.7109375" style="77" customWidth="1"/>
    <col min="2" max="2" width="3.8515625" style="31" customWidth="1"/>
    <col min="3" max="3" width="5.28125" style="31" customWidth="1"/>
    <col min="4" max="4" width="66.57421875" style="18" customWidth="1"/>
    <col min="5" max="5" width="27.28125" style="1" customWidth="1"/>
    <col min="6" max="6" width="30.8515625" style="1" customWidth="1"/>
    <col min="7" max="7" width="26.00390625" style="1" customWidth="1"/>
    <col min="8" max="9" width="24.57421875" style="1" customWidth="1"/>
    <col min="10" max="10" width="24.57421875" style="1" hidden="1" customWidth="1"/>
    <col min="11" max="15" width="24.57421875" style="41" customWidth="1"/>
    <col min="16" max="17" width="24.57421875" style="41" hidden="1" customWidth="1"/>
    <col min="18" max="22" width="24.57421875" style="41" customWidth="1"/>
    <col min="23" max="23" width="24.57421875" style="41" hidden="1" customWidth="1"/>
    <col min="24" max="24" width="24.57421875" style="41" customWidth="1"/>
    <col min="25" max="25" width="24.57421875" style="1" customWidth="1"/>
    <col min="26" max="26" width="28.00390625" style="1" customWidth="1"/>
    <col min="27" max="28" width="22.8515625" style="1" customWidth="1"/>
    <col min="29" max="31" width="22.8515625" style="1" hidden="1" customWidth="1"/>
    <col min="32" max="32" width="22.8515625" style="1" customWidth="1"/>
    <col min="33" max="16384" width="9.140625" style="1" customWidth="1"/>
  </cols>
  <sheetData>
    <row r="1" spans="1:24" ht="24.75" customHeight="1">
      <c r="A1" s="1153" t="s">
        <v>7</v>
      </c>
      <c r="B1" s="1153"/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3"/>
      <c r="O1" s="1153"/>
      <c r="P1" s="1153"/>
      <c r="Q1" s="1153"/>
      <c r="R1" s="1153"/>
      <c r="S1" s="1153"/>
      <c r="T1" s="1153"/>
      <c r="U1" s="1153"/>
      <c r="V1" s="1153"/>
      <c r="W1" s="1153"/>
      <c r="X1" s="1153"/>
    </row>
    <row r="2" spans="1:24" ht="14.25" customHeight="1" thickBot="1">
      <c r="A2" s="745" t="s">
        <v>195</v>
      </c>
      <c r="B2" s="745"/>
      <c r="C2" s="76"/>
      <c r="D2" s="90"/>
      <c r="X2" s="88" t="s">
        <v>446</v>
      </c>
    </row>
    <row r="3" spans="1:30" s="2" customFormat="1" ht="48.75" customHeight="1" thickBot="1">
      <c r="A3" s="1154" t="s">
        <v>3</v>
      </c>
      <c r="B3" s="1131"/>
      <c r="C3" s="1131"/>
      <c r="D3" s="1131"/>
      <c r="E3" s="357" t="s">
        <v>4</v>
      </c>
      <c r="F3" s="322"/>
      <c r="G3" s="322"/>
      <c r="H3" s="322"/>
      <c r="I3" s="322"/>
      <c r="J3" s="323"/>
      <c r="K3" s="357" t="s">
        <v>60</v>
      </c>
      <c r="L3" s="322"/>
      <c r="M3" s="322"/>
      <c r="N3" s="322"/>
      <c r="O3" s="322"/>
      <c r="P3" s="741"/>
      <c r="Q3" s="323"/>
      <c r="R3" s="357" t="s">
        <v>61</v>
      </c>
      <c r="S3" s="322"/>
      <c r="T3" s="322"/>
      <c r="U3" s="322"/>
      <c r="V3" s="322"/>
      <c r="W3" s="323"/>
      <c r="X3" s="1155" t="s">
        <v>65</v>
      </c>
      <c r="Y3" s="1156"/>
      <c r="Z3" s="1156"/>
      <c r="AA3" s="1156"/>
      <c r="AB3" s="1156"/>
      <c r="AC3" s="1156"/>
      <c r="AD3" s="1157"/>
    </row>
    <row r="4" spans="1:31" s="2" customFormat="1" ht="16.5" thickBot="1">
      <c r="A4" s="249"/>
      <c r="B4" s="247"/>
      <c r="C4" s="247"/>
      <c r="D4" s="247"/>
      <c r="E4" s="290" t="s">
        <v>64</v>
      </c>
      <c r="F4" s="291" t="s">
        <v>226</v>
      </c>
      <c r="G4" s="291" t="s">
        <v>229</v>
      </c>
      <c r="H4" s="291" t="s">
        <v>231</v>
      </c>
      <c r="I4" s="291" t="s">
        <v>243</v>
      </c>
      <c r="J4" s="292" t="s">
        <v>248</v>
      </c>
      <c r="K4" s="290" t="s">
        <v>64</v>
      </c>
      <c r="L4" s="291" t="s">
        <v>226</v>
      </c>
      <c r="M4" s="291" t="s">
        <v>229</v>
      </c>
      <c r="N4" s="291" t="s">
        <v>231</v>
      </c>
      <c r="O4" s="291" t="s">
        <v>243</v>
      </c>
      <c r="P4" s="291" t="s">
        <v>248</v>
      </c>
      <c r="Q4" s="292" t="s">
        <v>235</v>
      </c>
      <c r="R4" s="290" t="s">
        <v>64</v>
      </c>
      <c r="S4" s="291" t="s">
        <v>226</v>
      </c>
      <c r="T4" s="291" t="s">
        <v>229</v>
      </c>
      <c r="U4" s="291" t="s">
        <v>231</v>
      </c>
      <c r="V4" s="291" t="s">
        <v>243</v>
      </c>
      <c r="W4" s="292" t="s">
        <v>248</v>
      </c>
      <c r="X4" s="290" t="s">
        <v>64</v>
      </c>
      <c r="Y4" s="291" t="s">
        <v>226</v>
      </c>
      <c r="Z4" s="291" t="s">
        <v>229</v>
      </c>
      <c r="AA4" s="291" t="s">
        <v>231</v>
      </c>
      <c r="AB4" s="291" t="s">
        <v>243</v>
      </c>
      <c r="AC4" s="291" t="s">
        <v>248</v>
      </c>
      <c r="AD4" s="292" t="s">
        <v>248</v>
      </c>
      <c r="AE4" s="733"/>
    </row>
    <row r="5" spans="1:30" s="40" customFormat="1" ht="33" customHeight="1" thickBot="1">
      <c r="A5" s="69" t="s">
        <v>26</v>
      </c>
      <c r="B5" s="1142" t="s">
        <v>77</v>
      </c>
      <c r="C5" s="1142"/>
      <c r="D5" s="1142"/>
      <c r="E5" s="293">
        <f>SUM(E6:E10)</f>
        <v>589931086</v>
      </c>
      <c r="F5" s="293">
        <f>SUM(F6:F10)</f>
        <v>597432896</v>
      </c>
      <c r="G5" s="293">
        <f>SUM(G6:G10)</f>
        <v>611936768</v>
      </c>
      <c r="H5" s="293">
        <f>SUM(H6:H10)</f>
        <v>621238868</v>
      </c>
      <c r="I5" s="293">
        <f>SUM(I6:I10)</f>
        <v>736399485</v>
      </c>
      <c r="J5" s="293">
        <f>SUM(J6:J10)</f>
        <v>0</v>
      </c>
      <c r="K5" s="293">
        <f>SUM(K6:K10)</f>
        <v>505433895</v>
      </c>
      <c r="L5" s="293">
        <f>SUM(L6:L10)</f>
        <v>512935705</v>
      </c>
      <c r="M5" s="293">
        <f>SUM(M6:M10)</f>
        <v>527229577</v>
      </c>
      <c r="N5" s="293">
        <f>SUM(N6:N10)</f>
        <v>535651677</v>
      </c>
      <c r="O5" s="293">
        <f>SUM(O6:O10)</f>
        <v>655141388</v>
      </c>
      <c r="P5" s="293">
        <f>SUM(P6:P10)</f>
        <v>-19473626</v>
      </c>
      <c r="Q5" s="293">
        <f>SUM(Q6:Q10)</f>
        <v>498590005</v>
      </c>
      <c r="R5" s="293">
        <f aca="true" t="shared" si="0" ref="R5:AD5">SUM(R6:R10)</f>
        <v>84497191</v>
      </c>
      <c r="S5" s="293">
        <f t="shared" si="0"/>
        <v>84497191</v>
      </c>
      <c r="T5" s="293">
        <f>SUM(T6:T10)</f>
        <v>84707191</v>
      </c>
      <c r="U5" s="293">
        <f>SUM(U6:U10)</f>
        <v>85587191</v>
      </c>
      <c r="V5" s="293">
        <f>SUM(V6:V10)</f>
        <v>81258097</v>
      </c>
      <c r="W5" s="39">
        <f t="shared" si="0"/>
        <v>19473626</v>
      </c>
      <c r="X5" s="293">
        <f t="shared" si="0"/>
        <v>6843890</v>
      </c>
      <c r="Y5" s="293">
        <f t="shared" si="0"/>
        <v>6843890</v>
      </c>
      <c r="Z5" s="293">
        <f>SUM(Z6:Z10)</f>
        <v>6843890</v>
      </c>
      <c r="AA5" s="293">
        <f>SUM(AA6:AA10)</f>
        <v>6843890</v>
      </c>
      <c r="AB5" s="293">
        <f>SUM(AB6:AB10)</f>
        <v>6843890</v>
      </c>
      <c r="AC5" s="39">
        <f t="shared" si="0"/>
        <v>0</v>
      </c>
      <c r="AD5" s="703">
        <f t="shared" si="0"/>
        <v>0</v>
      </c>
    </row>
    <row r="6" spans="1:30" s="4" customFormat="1" ht="33" customHeight="1">
      <c r="A6" s="68"/>
      <c r="B6" s="73" t="s">
        <v>35</v>
      </c>
      <c r="C6" s="73"/>
      <c r="D6" s="285" t="s">
        <v>0</v>
      </c>
      <c r="E6" s="294">
        <f>'4.sz.m.ÖNK kiadás'!E7+'5.1 sz. m Köz Hiv'!D35+'5.2 sz. m ÁMK'!D38+'üres lap'!D27</f>
        <v>213636935</v>
      </c>
      <c r="F6" s="294">
        <f>'4.sz.m.ÖNK kiadás'!F7+'5.1 sz. m Köz Hiv'!E35+'5.2 sz. m ÁMK'!E38+'üres lap'!E27</f>
        <v>219380672</v>
      </c>
      <c r="G6" s="294">
        <f>'4.sz.m.ÖNK kiadás'!G7+'5.1 sz. m Köz Hiv'!F35+'5.2 sz. m ÁMK'!F38+'üres lap'!F27</f>
        <v>221446716</v>
      </c>
      <c r="H6" s="294">
        <f>'4.sz.m.ÖNK kiadás'!H7+'5.1 sz. m Köz Hiv'!G35+'5.2 sz. m ÁMK'!G38+'üres lap'!G27</f>
        <v>221995772</v>
      </c>
      <c r="I6" s="294">
        <f>'4.sz.m.ÖNK kiadás'!I7+'5.1 sz. m Köz Hiv'!H35+'5.2 sz. m ÁMK'!H38+'üres lap'!H27</f>
        <v>223595404</v>
      </c>
      <c r="J6" s="294">
        <f>'4.sz.m.ÖNK kiadás'!J7+'5.1 sz. m Köz Hiv'!I35+'5.2 sz. m ÁMK'!I38+'üres lap'!I27</f>
        <v>0</v>
      </c>
      <c r="K6" s="294">
        <f aca="true" t="shared" si="1" ref="K6:P13">E6-R6</f>
        <v>192021935</v>
      </c>
      <c r="L6" s="294">
        <f t="shared" si="1"/>
        <v>197765672</v>
      </c>
      <c r="M6" s="294">
        <f t="shared" si="1"/>
        <v>199831716</v>
      </c>
      <c r="N6" s="294">
        <f t="shared" si="1"/>
        <v>200380772</v>
      </c>
      <c r="O6" s="294">
        <f aca="true" t="shared" si="2" ref="O6:O13">I6-V6</f>
        <v>203246027</v>
      </c>
      <c r="P6" s="294">
        <f aca="true" t="shared" si="3" ref="P6:P13">J6-W6</f>
        <v>-14520000</v>
      </c>
      <c r="Q6" s="294">
        <f aca="true" t="shared" si="4" ref="Q6:Q13">K6-X6</f>
        <v>187144561</v>
      </c>
      <c r="R6" s="294">
        <f>'4.sz.m.ÖNK kiadás'!S7+'5.1 sz. m Köz Hiv'!S35</f>
        <v>21615000</v>
      </c>
      <c r="S6" s="294">
        <f>'4.sz.m.ÖNK kiadás'!T7+'5.1 sz. m Köz Hiv'!T35</f>
        <v>21615000</v>
      </c>
      <c r="T6" s="294">
        <f>'4.sz.m.ÖNK kiadás'!U7+'5.1 sz. m Köz Hiv'!U35</f>
        <v>21615000</v>
      </c>
      <c r="U6" s="294">
        <f>'4.sz.m.ÖNK kiadás'!V7+'5.1 sz. m Köz Hiv'!V35</f>
        <v>21615000</v>
      </c>
      <c r="V6" s="294">
        <f>'4.sz.m.ÖNK kiadás'!W7+'5.1 sz. m Köz Hiv'!W35</f>
        <v>20349377</v>
      </c>
      <c r="W6" s="242">
        <f>'4.sz.m.ÖNK kiadás'!X7</f>
        <v>14520000</v>
      </c>
      <c r="X6" s="294">
        <f>'5.1 sz. m Köz Hiv'!X35</f>
        <v>4877374</v>
      </c>
      <c r="Y6" s="294">
        <f>'5.1 sz. m Köz Hiv'!Y35</f>
        <v>4877374</v>
      </c>
      <c r="Z6" s="294">
        <f>'5.1 sz. m Köz Hiv'!Z35</f>
        <v>4877374</v>
      </c>
      <c r="AA6" s="294">
        <f>'5.1 sz. m Köz Hiv'!AA35</f>
        <v>4877374</v>
      </c>
      <c r="AB6" s="294">
        <f>'5.1 sz. m Köz Hiv'!AB35</f>
        <v>4877374</v>
      </c>
      <c r="AC6" s="242">
        <f>'5.1 sz. m Köz Hiv'!AC35</f>
        <v>0</v>
      </c>
      <c r="AD6" s="704">
        <f>'5.1 sz. m Köz Hiv'!AF35</f>
        <v>0</v>
      </c>
    </row>
    <row r="7" spans="1:30" s="4" customFormat="1" ht="33" customHeight="1">
      <c r="A7" s="51"/>
      <c r="B7" s="60" t="s">
        <v>36</v>
      </c>
      <c r="C7" s="60"/>
      <c r="D7" s="286" t="s">
        <v>78</v>
      </c>
      <c r="E7" s="294">
        <f>'4.sz.m.ÖNK kiadás'!E8+'5.1 sz. m Köz Hiv'!D36+'5.2 sz. m ÁMK'!D39+'üres lap'!D28</f>
        <v>41839351</v>
      </c>
      <c r="F7" s="294">
        <f>'4.sz.m.ÖNK kiadás'!F8+'5.1 sz. m Köz Hiv'!E36+'5.2 sz. m ÁMK'!E39+'üres lap'!E28</f>
        <v>43053247</v>
      </c>
      <c r="G7" s="294">
        <f>'4.sz.m.ÖNK kiadás'!G8+'5.1 sz. m Köz Hiv'!F36+'5.2 sz. m ÁMK'!F39+'üres lap'!F28</f>
        <v>43460332</v>
      </c>
      <c r="H7" s="294">
        <f>'4.sz.m.ÖNK kiadás'!H8+'5.1 sz. m Köz Hiv'!G36+'5.2 sz. m ÁMK'!G39+'üres lap'!G28</f>
        <v>43551332</v>
      </c>
      <c r="I7" s="294">
        <f>'4.sz.m.ÖNK kiadás'!I8+'5.1 sz. m Köz Hiv'!H36+'5.2 sz. m ÁMK'!H39+'üres lap'!H28</f>
        <v>43833653</v>
      </c>
      <c r="J7" s="294">
        <f>'4.sz.m.ÖNK kiadás'!J8+'5.1 sz. m Köz Hiv'!I36+'5.2 sz. m ÁMK'!I39+'üres lap'!I28</f>
        <v>0</v>
      </c>
      <c r="K7" s="294">
        <f t="shared" si="1"/>
        <v>37084051</v>
      </c>
      <c r="L7" s="294">
        <f t="shared" si="1"/>
        <v>38297947</v>
      </c>
      <c r="M7" s="294">
        <f t="shared" si="1"/>
        <v>38705032</v>
      </c>
      <c r="N7" s="294">
        <f t="shared" si="1"/>
        <v>38796032</v>
      </c>
      <c r="O7" s="294">
        <f t="shared" si="2"/>
        <v>39626978</v>
      </c>
      <c r="P7" s="294">
        <f t="shared" si="3"/>
        <v>-3194400</v>
      </c>
      <c r="Q7" s="294">
        <f t="shared" si="4"/>
        <v>36128149</v>
      </c>
      <c r="R7" s="294">
        <f>'4.sz.m.ÖNK kiadás'!S8+'5.1 sz. m Köz Hiv'!S36</f>
        <v>4755300</v>
      </c>
      <c r="S7" s="294">
        <f>'4.sz.m.ÖNK kiadás'!T8+'5.1 sz. m Köz Hiv'!T36</f>
        <v>4755300</v>
      </c>
      <c r="T7" s="294">
        <f>'4.sz.m.ÖNK kiadás'!U8+'5.1 sz. m Köz Hiv'!U36</f>
        <v>4755300</v>
      </c>
      <c r="U7" s="294">
        <f>'4.sz.m.ÖNK kiadás'!V8+'5.1 sz. m Köz Hiv'!V36</f>
        <v>4755300</v>
      </c>
      <c r="V7" s="294">
        <f>'4.sz.m.ÖNK kiadás'!W8+'5.1 sz. m Köz Hiv'!W36</f>
        <v>4206675</v>
      </c>
      <c r="W7" s="242">
        <f>'4.sz.m.ÖNK kiadás'!X8</f>
        <v>3194400</v>
      </c>
      <c r="X7" s="294">
        <f>'5.1 sz. m Köz Hiv'!X36</f>
        <v>955902</v>
      </c>
      <c r="Y7" s="294">
        <f>'5.1 sz. m Köz Hiv'!Y36</f>
        <v>955902</v>
      </c>
      <c r="Z7" s="294">
        <f>'5.1 sz. m Köz Hiv'!Z36</f>
        <v>955902</v>
      </c>
      <c r="AA7" s="294">
        <f>'5.1 sz. m Köz Hiv'!AA36</f>
        <v>955902</v>
      </c>
      <c r="AB7" s="294">
        <f>'5.1 sz. m Köz Hiv'!AB36</f>
        <v>955902</v>
      </c>
      <c r="AC7" s="242">
        <f>'5.1 sz. m Köz Hiv'!AC36</f>
        <v>0</v>
      </c>
      <c r="AD7" s="704">
        <f>'5.1 sz. m Köz Hiv'!AF36</f>
        <v>0</v>
      </c>
    </row>
    <row r="8" spans="1:30" s="4" customFormat="1" ht="33" customHeight="1">
      <c r="A8" s="51"/>
      <c r="B8" s="60" t="s">
        <v>37</v>
      </c>
      <c r="C8" s="60"/>
      <c r="D8" s="286" t="s">
        <v>79</v>
      </c>
      <c r="E8" s="294">
        <f>'4.sz.m.ÖNK kiadás'!E9+'5.1 sz. m Köz Hiv'!D37+'5.2 sz. m ÁMK'!D40+'üres lap'!D29</f>
        <v>178212404</v>
      </c>
      <c r="F8" s="294">
        <f>'4.sz.m.ÖNK kiadás'!F9+'5.1 sz. m Köz Hiv'!E37+'5.2 sz. m ÁMK'!E40+'üres lap'!E29</f>
        <v>178569404</v>
      </c>
      <c r="G8" s="294">
        <f>'4.sz.m.ÖNK kiadás'!G9+'5.1 sz. m Köz Hiv'!F37+'5.2 sz. m ÁMK'!F40+'üres lap'!F29</f>
        <v>190390147</v>
      </c>
      <c r="H8" s="294">
        <f>'4.sz.m.ÖNK kiadás'!H9+'5.1 sz. m Köz Hiv'!G37+'5.2 sz. m ÁMK'!G40+'üres lap'!G29</f>
        <v>195932191</v>
      </c>
      <c r="I8" s="294">
        <f>'4.sz.m.ÖNK kiadás'!I9+'5.1 sz. m Köz Hiv'!H37+'5.2 sz. m ÁMK'!H40+'üres lap'!H29</f>
        <v>314973356</v>
      </c>
      <c r="J8" s="294">
        <f>'4.sz.m.ÖNK kiadás'!J9+'5.1 sz. m Köz Hiv'!I37+'5.2 sz. m ÁMK'!I40+'üres lap'!I29</f>
        <v>0</v>
      </c>
      <c r="K8" s="294">
        <f t="shared" si="1"/>
        <v>132418326</v>
      </c>
      <c r="L8" s="294">
        <f t="shared" si="1"/>
        <v>132775326</v>
      </c>
      <c r="M8" s="294">
        <f t="shared" si="1"/>
        <v>144596069</v>
      </c>
      <c r="N8" s="294">
        <f t="shared" si="1"/>
        <v>151258113</v>
      </c>
      <c r="O8" s="294">
        <f t="shared" si="2"/>
        <v>270245578</v>
      </c>
      <c r="P8" s="294">
        <f t="shared" si="3"/>
        <v>0</v>
      </c>
      <c r="Q8" s="294">
        <f t="shared" si="4"/>
        <v>131407712</v>
      </c>
      <c r="R8" s="294">
        <f>'4.sz.m.ÖNK kiadás'!S9</f>
        <v>45794078</v>
      </c>
      <c r="S8" s="294">
        <f>'4.sz.m.ÖNK kiadás'!T9</f>
        <v>45794078</v>
      </c>
      <c r="T8" s="294">
        <f>'4.sz.m.ÖNK kiadás'!U9</f>
        <v>45794078</v>
      </c>
      <c r="U8" s="294">
        <f>'4.sz.m.ÖNK kiadás'!V9</f>
        <v>44674078</v>
      </c>
      <c r="V8" s="294">
        <f>'4.sz.m.ÖNK kiadás'!W9</f>
        <v>44727778</v>
      </c>
      <c r="W8" s="242">
        <f>'4.sz.m.ÖNK kiadás'!X9</f>
        <v>0</v>
      </c>
      <c r="X8" s="294">
        <f>'5.1 sz. m Köz Hiv'!X37</f>
        <v>1010614</v>
      </c>
      <c r="Y8" s="294">
        <f>'5.1 sz. m Köz Hiv'!Y37</f>
        <v>1010614</v>
      </c>
      <c r="Z8" s="294">
        <f>'5.1 sz. m Köz Hiv'!Z37</f>
        <v>1010614</v>
      </c>
      <c r="AA8" s="294">
        <f>'5.1 sz. m Köz Hiv'!AA37</f>
        <v>1010614</v>
      </c>
      <c r="AB8" s="294">
        <f>'5.1 sz. m Köz Hiv'!AB37</f>
        <v>1010614</v>
      </c>
      <c r="AC8" s="242">
        <f>'5.1 sz. m Köz Hiv'!AC37</f>
        <v>0</v>
      </c>
      <c r="AD8" s="704">
        <f>'5.1 sz. m Köz Hiv'!AF37</f>
        <v>0</v>
      </c>
    </row>
    <row r="9" spans="1:30" s="4" customFormat="1" ht="33" customHeight="1">
      <c r="A9" s="51"/>
      <c r="B9" s="60" t="s">
        <v>48</v>
      </c>
      <c r="C9" s="60"/>
      <c r="D9" s="286" t="s">
        <v>80</v>
      </c>
      <c r="E9" s="294">
        <f>'4.sz.m.ÖNK kiadás'!E10+'5.1 sz. m Köz Hiv'!D38+'5.2 sz. m ÁMK'!D41+'üres lap'!D30</f>
        <v>2250000</v>
      </c>
      <c r="F9" s="294">
        <f>'4.sz.m.ÖNK kiadás'!F10+'5.1 sz. m Köz Hiv'!E38+'5.2 sz. m ÁMK'!E41+'üres lap'!E30</f>
        <v>2250000</v>
      </c>
      <c r="G9" s="294">
        <f>'4.sz.m.ÖNK kiadás'!G10+'5.1 sz. m Köz Hiv'!F38+'5.2 sz. m ÁMK'!F41+'üres lap'!F30</f>
        <v>2250000</v>
      </c>
      <c r="H9" s="294">
        <f>'4.sz.m.ÖNK kiadás'!H10+'5.1 sz. m Köz Hiv'!G38+'5.2 sz. m ÁMK'!G41+'üres lap'!G30</f>
        <v>3370000</v>
      </c>
      <c r="I9" s="294">
        <f>'4.sz.m.ÖNK kiadás'!I10+'5.1 sz. m Köz Hiv'!H38+'5.2 sz. m ÁMK'!H41+'üres lap'!H30</f>
        <v>3370000</v>
      </c>
      <c r="J9" s="294">
        <f>'4.sz.m.ÖNK kiadás'!J10+'5.1 sz. m Köz Hiv'!I38+'5.2 sz. m ÁMK'!I41+'üres lap'!I30</f>
        <v>0</v>
      </c>
      <c r="K9" s="294">
        <f t="shared" si="1"/>
        <v>2250000</v>
      </c>
      <c r="L9" s="294">
        <f t="shared" si="1"/>
        <v>2250000</v>
      </c>
      <c r="M9" s="294">
        <f t="shared" si="1"/>
        <v>2250000</v>
      </c>
      <c r="N9" s="294">
        <f t="shared" si="1"/>
        <v>3370000</v>
      </c>
      <c r="O9" s="294">
        <f t="shared" si="2"/>
        <v>3370000</v>
      </c>
      <c r="P9" s="294">
        <f t="shared" si="3"/>
        <v>0</v>
      </c>
      <c r="Q9" s="294">
        <f t="shared" si="4"/>
        <v>2250000</v>
      </c>
      <c r="R9" s="294">
        <f>'4.sz.m.ÖNK kiadás'!S10</f>
        <v>0</v>
      </c>
      <c r="S9" s="294">
        <f>'4.sz.m.ÖNK kiadás'!T10</f>
        <v>0</v>
      </c>
      <c r="T9" s="294">
        <f>'4.sz.m.ÖNK kiadás'!U10</f>
        <v>0</v>
      </c>
      <c r="U9" s="294">
        <f>'4.sz.m.ÖNK kiadás'!V10</f>
        <v>0</v>
      </c>
      <c r="V9" s="294">
        <f>'4.sz.m.ÖNK kiadás'!W10</f>
        <v>0</v>
      </c>
      <c r="W9" s="242">
        <f>'4.sz.m.ÖNK kiadás'!X10</f>
        <v>0</v>
      </c>
      <c r="X9" s="294">
        <v>0</v>
      </c>
      <c r="Y9" s="294">
        <v>0</v>
      </c>
      <c r="Z9" s="294">
        <v>0</v>
      </c>
      <c r="AA9" s="294">
        <v>0</v>
      </c>
      <c r="AB9" s="294">
        <v>0</v>
      </c>
      <c r="AC9" s="242"/>
      <c r="AD9" s="704"/>
    </row>
    <row r="10" spans="1:30" s="4" customFormat="1" ht="33" customHeight="1">
      <c r="A10" s="51"/>
      <c r="B10" s="60" t="s">
        <v>49</v>
      </c>
      <c r="C10" s="60"/>
      <c r="D10" s="287" t="s">
        <v>82</v>
      </c>
      <c r="E10" s="294">
        <f aca="true" t="shared" si="5" ref="E10:J10">SUM(E11:E15)</f>
        <v>153992396</v>
      </c>
      <c r="F10" s="294">
        <f t="shared" si="5"/>
        <v>154179573</v>
      </c>
      <c r="G10" s="294">
        <f t="shared" si="5"/>
        <v>154389573</v>
      </c>
      <c r="H10" s="294">
        <f>SUM(H11:H15)</f>
        <v>156389573</v>
      </c>
      <c r="I10" s="294">
        <f t="shared" si="5"/>
        <v>150627072</v>
      </c>
      <c r="J10" s="294">
        <f t="shared" si="5"/>
        <v>0</v>
      </c>
      <c r="K10" s="294">
        <f t="shared" si="1"/>
        <v>141659583</v>
      </c>
      <c r="L10" s="294">
        <f t="shared" si="1"/>
        <v>141846760</v>
      </c>
      <c r="M10" s="294">
        <f t="shared" si="1"/>
        <v>141846760</v>
      </c>
      <c r="N10" s="294">
        <f t="shared" si="1"/>
        <v>141846760</v>
      </c>
      <c r="O10" s="294">
        <f t="shared" si="2"/>
        <v>138652805</v>
      </c>
      <c r="P10" s="294">
        <f t="shared" si="3"/>
        <v>-1759226</v>
      </c>
      <c r="Q10" s="294">
        <f t="shared" si="4"/>
        <v>141659583</v>
      </c>
      <c r="R10" s="294">
        <f>'4.sz.m.ÖNK kiadás'!S11</f>
        <v>12332813</v>
      </c>
      <c r="S10" s="294">
        <f>'4.sz.m.ÖNK kiadás'!T11</f>
        <v>12332813</v>
      </c>
      <c r="T10" s="294">
        <f>'4.sz.m.ÖNK kiadás'!U11</f>
        <v>12542813</v>
      </c>
      <c r="U10" s="294">
        <f>'4.sz.m.ÖNK kiadás'!V11</f>
        <v>14542813</v>
      </c>
      <c r="V10" s="294">
        <f>'4.sz.m.ÖNK kiadás'!W11</f>
        <v>11974267</v>
      </c>
      <c r="W10" s="242">
        <f>'4.sz.m.ÖNK kiadás'!X11</f>
        <v>1759226</v>
      </c>
      <c r="X10" s="294">
        <v>0</v>
      </c>
      <c r="Y10" s="294">
        <v>0</v>
      </c>
      <c r="Z10" s="294">
        <v>0</v>
      </c>
      <c r="AA10" s="294">
        <v>0</v>
      </c>
      <c r="AB10" s="294">
        <v>0</v>
      </c>
      <c r="AC10" s="242"/>
      <c r="AD10" s="704"/>
    </row>
    <row r="11" spans="1:30" s="4" customFormat="1" ht="33" customHeight="1">
      <c r="A11" s="51"/>
      <c r="B11" s="81"/>
      <c r="C11" s="60" t="s">
        <v>81</v>
      </c>
      <c r="D11" s="286" t="s">
        <v>275</v>
      </c>
      <c r="E11" s="294">
        <f>'4.sz.m.ÖNK kiadás'!E12</f>
        <v>0</v>
      </c>
      <c r="F11" s="294">
        <f>'4.sz.m.ÖNK kiadás'!F12</f>
        <v>187177</v>
      </c>
      <c r="G11" s="294">
        <f>'4.sz.m.ÖNK kiadás'!G12</f>
        <v>187177</v>
      </c>
      <c r="H11" s="294">
        <f>'4.sz.m.ÖNK kiadás'!H12</f>
        <v>187177</v>
      </c>
      <c r="I11" s="294">
        <f>'4.sz.m.ÖNK kiadás'!I12</f>
        <v>187177</v>
      </c>
      <c r="J11" s="294">
        <f>'4.sz.m.ÖNK kiadás'!J12</f>
        <v>0</v>
      </c>
      <c r="K11" s="294">
        <f t="shared" si="1"/>
        <v>0</v>
      </c>
      <c r="L11" s="294">
        <f t="shared" si="1"/>
        <v>187177</v>
      </c>
      <c r="M11" s="294">
        <f t="shared" si="1"/>
        <v>187177</v>
      </c>
      <c r="N11" s="294">
        <f t="shared" si="1"/>
        <v>187177</v>
      </c>
      <c r="O11" s="294">
        <f t="shared" si="2"/>
        <v>187177</v>
      </c>
      <c r="P11" s="294">
        <f t="shared" si="3"/>
        <v>-4</v>
      </c>
      <c r="Q11" s="294">
        <f t="shared" si="4"/>
        <v>0</v>
      </c>
      <c r="R11" s="294">
        <f>'4.sz.m.ÖNK kiadás'!S12</f>
        <v>0</v>
      </c>
      <c r="S11" s="294">
        <f>'4.sz.m.ÖNK kiadás'!T12</f>
        <v>0</v>
      </c>
      <c r="T11" s="294">
        <f>'4.sz.m.ÖNK kiadás'!U12</f>
        <v>0</v>
      </c>
      <c r="U11" s="294">
        <f>'4.sz.m.ÖNK kiadás'!V12</f>
        <v>0</v>
      </c>
      <c r="V11" s="294">
        <f>'4.sz.m.ÖNK kiadás'!W12</f>
        <v>0</v>
      </c>
      <c r="W11" s="242">
        <f>'4.sz.m.ÖNK kiadás'!X12</f>
        <v>4</v>
      </c>
      <c r="X11" s="294">
        <v>0</v>
      </c>
      <c r="Y11" s="294">
        <v>0</v>
      </c>
      <c r="Z11" s="294">
        <v>0</v>
      </c>
      <c r="AA11" s="294">
        <v>0</v>
      </c>
      <c r="AB11" s="294">
        <v>0</v>
      </c>
      <c r="AC11" s="242"/>
      <c r="AD11" s="704"/>
    </row>
    <row r="12" spans="1:30" s="4" customFormat="1" ht="57.75" customHeight="1">
      <c r="A12" s="51"/>
      <c r="B12" s="60"/>
      <c r="C12" s="60" t="s">
        <v>83</v>
      </c>
      <c r="D12" s="286" t="s">
        <v>276</v>
      </c>
      <c r="E12" s="294">
        <f>'4.sz.m.ÖNK kiadás'!E13</f>
        <v>11041025</v>
      </c>
      <c r="F12" s="294">
        <f>'4.sz.m.ÖNK kiadás'!F13</f>
        <v>11041025</v>
      </c>
      <c r="G12" s="294">
        <f>'4.sz.m.ÖNK kiadás'!G13</f>
        <v>11251025</v>
      </c>
      <c r="H12" s="294">
        <f>'4.sz.m.ÖNK kiadás'!H13</f>
        <v>13251025</v>
      </c>
      <c r="I12" s="294">
        <f>'4.sz.m.ÖNK kiadás'!I13</f>
        <v>10899721</v>
      </c>
      <c r="J12" s="294">
        <f>'4.sz.m.ÖNK kiadás'!J13</f>
        <v>0</v>
      </c>
      <c r="K12" s="294">
        <f t="shared" si="1"/>
        <v>0</v>
      </c>
      <c r="L12" s="294">
        <f t="shared" si="1"/>
        <v>0</v>
      </c>
      <c r="M12" s="294">
        <f t="shared" si="1"/>
        <v>0</v>
      </c>
      <c r="N12" s="294">
        <f t="shared" si="1"/>
        <v>0</v>
      </c>
      <c r="O12" s="294">
        <f t="shared" si="2"/>
        <v>0</v>
      </c>
      <c r="P12" s="294">
        <f t="shared" si="3"/>
        <v>0</v>
      </c>
      <c r="Q12" s="294">
        <f t="shared" si="4"/>
        <v>0</v>
      </c>
      <c r="R12" s="294">
        <f>'4.sz.m.ÖNK kiadás'!S13</f>
        <v>11041025</v>
      </c>
      <c r="S12" s="294">
        <f>'4.sz.m.ÖNK kiadás'!T13</f>
        <v>11041025</v>
      </c>
      <c r="T12" s="294">
        <f>'4.sz.m.ÖNK kiadás'!U13</f>
        <v>11251025</v>
      </c>
      <c r="U12" s="294">
        <f>'4.sz.m.ÖNK kiadás'!V13</f>
        <v>13251025</v>
      </c>
      <c r="V12" s="294">
        <f>'4.sz.m.ÖNK kiadás'!W13</f>
        <v>10899721</v>
      </c>
      <c r="W12" s="242">
        <f>'4.sz.m.ÖNK kiadás'!X13</f>
        <v>0</v>
      </c>
      <c r="X12" s="294">
        <v>0</v>
      </c>
      <c r="Y12" s="294">
        <v>0</v>
      </c>
      <c r="Z12" s="294">
        <v>0</v>
      </c>
      <c r="AA12" s="294">
        <v>0</v>
      </c>
      <c r="AB12" s="294">
        <v>0</v>
      </c>
      <c r="AC12" s="242"/>
      <c r="AD12" s="704"/>
    </row>
    <row r="13" spans="1:30" s="4" customFormat="1" ht="54.75" customHeight="1" thickBot="1">
      <c r="A13" s="78"/>
      <c r="B13" s="79"/>
      <c r="C13" s="60" t="s">
        <v>84</v>
      </c>
      <c r="D13" s="286" t="s">
        <v>277</v>
      </c>
      <c r="E13" s="294">
        <f>'4.sz.m.ÖNK kiadás'!E14</f>
        <v>142951371</v>
      </c>
      <c r="F13" s="294">
        <f>'4.sz.m.ÖNK kiadás'!F14</f>
        <v>142951371</v>
      </c>
      <c r="G13" s="294">
        <f>'4.sz.m.ÖNK kiadás'!G14</f>
        <v>142951371</v>
      </c>
      <c r="H13" s="294">
        <f>'4.sz.m.ÖNK kiadás'!H14</f>
        <v>142951371</v>
      </c>
      <c r="I13" s="294">
        <f>'4.sz.m.ÖNK kiadás'!I14</f>
        <v>139540174</v>
      </c>
      <c r="J13" s="294">
        <f>'4.sz.m.ÖNK kiadás'!J14</f>
        <v>0</v>
      </c>
      <c r="K13" s="294">
        <f t="shared" si="1"/>
        <v>141659583</v>
      </c>
      <c r="L13" s="294">
        <f t="shared" si="1"/>
        <v>141659583</v>
      </c>
      <c r="M13" s="294">
        <f t="shared" si="1"/>
        <v>141659583</v>
      </c>
      <c r="N13" s="294">
        <f t="shared" si="1"/>
        <v>141659583</v>
      </c>
      <c r="O13" s="294">
        <f t="shared" si="2"/>
        <v>138465628</v>
      </c>
      <c r="P13" s="294">
        <f t="shared" si="3"/>
        <v>-1759222</v>
      </c>
      <c r="Q13" s="294">
        <f t="shared" si="4"/>
        <v>141659583</v>
      </c>
      <c r="R13" s="294">
        <f>'4.sz.m.ÖNK kiadás'!S14</f>
        <v>1291788</v>
      </c>
      <c r="S13" s="294">
        <f>'4.sz.m.ÖNK kiadás'!T14</f>
        <v>1291788</v>
      </c>
      <c r="T13" s="294">
        <f>'4.sz.m.ÖNK kiadás'!U14</f>
        <v>1291788</v>
      </c>
      <c r="U13" s="294">
        <f>'4.sz.m.ÖNK kiadás'!V14</f>
        <v>1291788</v>
      </c>
      <c r="V13" s="294">
        <f>'4.sz.m.ÖNK kiadás'!W14</f>
        <v>1074546</v>
      </c>
      <c r="W13" s="242">
        <f>'4.sz.m.ÖNK kiadás'!X14</f>
        <v>1759222</v>
      </c>
      <c r="X13" s="294">
        <v>0</v>
      </c>
      <c r="Y13" s="294">
        <v>0</v>
      </c>
      <c r="Z13" s="294">
        <v>0</v>
      </c>
      <c r="AA13" s="294">
        <v>0</v>
      </c>
      <c r="AB13" s="294">
        <v>0</v>
      </c>
      <c r="AC13" s="242"/>
      <c r="AD13" s="704"/>
    </row>
    <row r="14" spans="1:30" s="4" customFormat="1" ht="33" customHeight="1" hidden="1">
      <c r="A14" s="51"/>
      <c r="B14" s="60"/>
      <c r="C14" s="60" t="s">
        <v>87</v>
      </c>
      <c r="D14" s="286" t="s">
        <v>89</v>
      </c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>
        <f>'4.sz.m.ÖNK kiadás'!S15</f>
        <v>0</v>
      </c>
      <c r="S14" s="294">
        <f>'4.sz.m.ÖNK kiadás'!T15</f>
        <v>0</v>
      </c>
      <c r="T14" s="294">
        <f>'4.sz.m.ÖNK kiadás'!U15</f>
        <v>0</v>
      </c>
      <c r="U14" s="294">
        <f>'4.sz.m.ÖNK kiadás'!V15</f>
        <v>0</v>
      </c>
      <c r="V14" s="294">
        <f>'4.sz.m.ÖNK kiadás'!W15</f>
        <v>0</v>
      </c>
      <c r="W14" s="242">
        <f>'4.sz.m.ÖNK kiadás'!X15</f>
        <v>0</v>
      </c>
      <c r="X14" s="294"/>
      <c r="Y14" s="294"/>
      <c r="Z14" s="294"/>
      <c r="AA14" s="294"/>
      <c r="AB14" s="294"/>
      <c r="AC14" s="242"/>
      <c r="AD14" s="704"/>
    </row>
    <row r="15" spans="1:30" s="4" customFormat="1" ht="33" customHeight="1" hidden="1" thickBot="1">
      <c r="A15" s="83"/>
      <c r="B15" s="74"/>
      <c r="C15" s="74" t="s">
        <v>88</v>
      </c>
      <c r="D15" s="288" t="s">
        <v>90</v>
      </c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>
        <f>'4.sz.m.ÖNK kiadás'!S16</f>
        <v>0</v>
      </c>
      <c r="S15" s="294">
        <f>'4.sz.m.ÖNK kiadás'!T16</f>
        <v>0</v>
      </c>
      <c r="T15" s="294">
        <f>'4.sz.m.ÖNK kiadás'!U16</f>
        <v>0</v>
      </c>
      <c r="U15" s="294">
        <f>'4.sz.m.ÖNK kiadás'!V16</f>
        <v>0</v>
      </c>
      <c r="V15" s="294">
        <f>'4.sz.m.ÖNK kiadás'!W16</f>
        <v>0</v>
      </c>
      <c r="W15" s="242">
        <f>'4.sz.m.ÖNK kiadás'!X16</f>
        <v>0</v>
      </c>
      <c r="X15" s="294"/>
      <c r="Y15" s="294"/>
      <c r="Z15" s="294"/>
      <c r="AA15" s="294"/>
      <c r="AB15" s="294"/>
      <c r="AC15" s="242"/>
      <c r="AD15" s="704"/>
    </row>
    <row r="16" spans="1:30" s="4" customFormat="1" ht="33" customHeight="1" thickBot="1">
      <c r="A16" s="69" t="s">
        <v>27</v>
      </c>
      <c r="B16" s="1142" t="s">
        <v>91</v>
      </c>
      <c r="C16" s="1142"/>
      <c r="D16" s="1142"/>
      <c r="E16" s="293">
        <f aca="true" t="shared" si="6" ref="E16:P16">SUM(E17:E19)</f>
        <v>130152692</v>
      </c>
      <c r="F16" s="293">
        <f t="shared" si="6"/>
        <v>130652781</v>
      </c>
      <c r="G16" s="293">
        <f t="shared" si="6"/>
        <v>130690281</v>
      </c>
      <c r="H16" s="293">
        <f>SUM(H17:H19)</f>
        <v>243895504</v>
      </c>
      <c r="I16" s="293">
        <f t="shared" si="6"/>
        <v>293465044</v>
      </c>
      <c r="J16" s="293">
        <f t="shared" si="6"/>
        <v>0</v>
      </c>
      <c r="K16" s="293">
        <f t="shared" si="6"/>
        <v>116037248</v>
      </c>
      <c r="L16" s="293">
        <f t="shared" si="6"/>
        <v>116537337</v>
      </c>
      <c r="M16" s="293">
        <f>SUM(M17:M19)</f>
        <v>116574837</v>
      </c>
      <c r="N16" s="293">
        <f>SUM(N17:N19)</f>
        <v>228930060</v>
      </c>
      <c r="O16" s="293">
        <f>SUM(O17:O19)</f>
        <v>278079600</v>
      </c>
      <c r="P16" s="293" t="e">
        <f>SUM(P17:P19)</f>
        <v>#REF!</v>
      </c>
      <c r="Q16" s="293" t="e">
        <f>SUM(Q17:Q19)</f>
        <v>#REF!</v>
      </c>
      <c r="R16" s="293">
        <f>SUM(R17:R19)</f>
        <v>14115444</v>
      </c>
      <c r="S16" s="293">
        <f>SUM(S17:S19)</f>
        <v>14115444</v>
      </c>
      <c r="T16" s="293">
        <f>SUM(T17:T19)</f>
        <v>14115444</v>
      </c>
      <c r="U16" s="293">
        <f>SUM(U17:U19)</f>
        <v>14965444</v>
      </c>
      <c r="V16" s="293">
        <f>SUM(V17:V19)</f>
        <v>15385444</v>
      </c>
      <c r="W16" s="39">
        <f>SUM(W17:W19)</f>
        <v>1027472</v>
      </c>
      <c r="X16" s="293">
        <f aca="true" t="shared" si="7" ref="X16:AD16">SUM(X17:X19)</f>
        <v>0</v>
      </c>
      <c r="Y16" s="293">
        <f>SUM(Y17:Y19)</f>
        <v>0</v>
      </c>
      <c r="Z16" s="293">
        <f>SUM(Z17:Z19)</f>
        <v>0</v>
      </c>
      <c r="AA16" s="293">
        <f>SUM(AA17:AA19)</f>
        <v>0</v>
      </c>
      <c r="AB16" s="293">
        <f>SUM(AB17:AB19)</f>
        <v>0</v>
      </c>
      <c r="AC16" s="39">
        <f t="shared" si="7"/>
        <v>0</v>
      </c>
      <c r="AD16" s="703">
        <f t="shared" si="7"/>
        <v>0</v>
      </c>
    </row>
    <row r="17" spans="1:30" s="4" customFormat="1" ht="33" customHeight="1">
      <c r="A17" s="68"/>
      <c r="B17" s="73" t="s">
        <v>38</v>
      </c>
      <c r="C17" s="1149" t="s">
        <v>92</v>
      </c>
      <c r="D17" s="1149"/>
      <c r="E17" s="294">
        <f>'4.sz.m.ÖNK kiadás'!E18+'5.1 sz. m Köz Hiv'!D41+'5.2 sz. m ÁMK'!D44+'üres lap'!D33</f>
        <v>47648344</v>
      </c>
      <c r="F17" s="294">
        <f>'4.sz.m.ÖNK kiadás'!F18+'5.1 sz. m Köz Hiv'!E41+'5.2 sz. m ÁMK'!E44+'üres lap'!E33</f>
        <v>48148344</v>
      </c>
      <c r="G17" s="294">
        <f>'4.sz.m.ÖNK kiadás'!G18+'5.1 sz. m Köz Hiv'!F41+'5.2 sz. m ÁMK'!F44+'üres lap'!F33</f>
        <v>48185844</v>
      </c>
      <c r="H17" s="294">
        <f>'4.sz.m.ÖNK kiadás'!H18+'5.1 sz. m Köz Hiv'!G41+'5.2 sz. m ÁMK'!G44+'üres lap'!G33</f>
        <v>84350467</v>
      </c>
      <c r="I17" s="294">
        <f>'4.sz.m.ÖNK kiadás'!I18+'5.1 sz. m Köz Hiv'!H41+'5.2 sz. m ÁMK'!H44+'üres lap'!H33</f>
        <v>91838718</v>
      </c>
      <c r="J17" s="294">
        <f>'4.sz.m.ÖNK kiadás'!J18+'5.1 sz. m Köz Hiv'!I41+'5.2 sz. m ÁMK'!I44+'üres lap'!I33</f>
        <v>0</v>
      </c>
      <c r="K17" s="294">
        <f>'4.sz.m.ÖNK kiadás'!L18+'5.1 sz. m Köz Hiv'!L41+'5.2 sz. m ÁMK'!L44</f>
        <v>44526032</v>
      </c>
      <c r="L17" s="294">
        <f>'4.sz.m.ÖNK kiadás'!M18+'5.1 sz. m Köz Hiv'!M41+'5.2 sz. m ÁMK'!M44</f>
        <v>45026032</v>
      </c>
      <c r="M17" s="294">
        <f>'4.sz.m.ÖNK kiadás'!N18+'5.1 sz. m Köz Hiv'!N41+'5.2 sz. m ÁMK'!N44</f>
        <v>45063532</v>
      </c>
      <c r="N17" s="294">
        <f>'4.sz.m.ÖNK kiadás'!O18+'5.1 sz. m Köz Hiv'!O41+'5.2 sz. m ÁMK'!O44</f>
        <v>81228155</v>
      </c>
      <c r="O17" s="294">
        <f>'4.sz.m.ÖNK kiadás'!P18+'5.1 sz. m Köz Hiv'!P41+'5.2 sz. m ÁMK'!P44</f>
        <v>88716406</v>
      </c>
      <c r="P17" s="294" t="e">
        <f>'4.sz.m.ÖNK kiadás'!Q18+'5.1 sz. m Köz Hiv'!Q41+'5.2 sz. m ÁMK'!Q44</f>
        <v>#REF!</v>
      </c>
      <c r="Q17" s="294" t="e">
        <f>'4.sz.m.ÖNK kiadás'!R18+'5.1 sz. m Köz Hiv'!R41+'5.2 sz. m ÁMK'!R44</f>
        <v>#REF!</v>
      </c>
      <c r="R17" s="294">
        <f>'4.sz.m.ÖNK kiadás'!S18</f>
        <v>3122312</v>
      </c>
      <c r="S17" s="294">
        <f>'4.sz.m.ÖNK kiadás'!T18</f>
        <v>3122312</v>
      </c>
      <c r="T17" s="294">
        <f>'4.sz.m.ÖNK kiadás'!U18</f>
        <v>3122312</v>
      </c>
      <c r="U17" s="294">
        <f>'4.sz.m.ÖNK kiadás'!V18</f>
        <v>3122312</v>
      </c>
      <c r="V17" s="294">
        <f>'4.sz.m.ÖNK kiadás'!W18</f>
        <v>3122312</v>
      </c>
      <c r="W17" s="242">
        <f>'4.sz.m.ÖNK kiadás'!X18</f>
        <v>554095</v>
      </c>
      <c r="X17" s="294">
        <v>0</v>
      </c>
      <c r="Y17" s="294">
        <v>0</v>
      </c>
      <c r="Z17" s="294">
        <v>0</v>
      </c>
      <c r="AA17" s="294">
        <v>0</v>
      </c>
      <c r="AB17" s="294">
        <v>0</v>
      </c>
      <c r="AC17" s="242"/>
      <c r="AD17" s="704"/>
    </row>
    <row r="18" spans="1:30" s="4" customFormat="1" ht="33" customHeight="1">
      <c r="A18" s="51"/>
      <c r="B18" s="60" t="s">
        <v>39</v>
      </c>
      <c r="C18" s="1140" t="s">
        <v>93</v>
      </c>
      <c r="D18" s="1140"/>
      <c r="E18" s="294">
        <f>'4.sz.m.ÖNK kiadás'!E19</f>
        <v>75804348</v>
      </c>
      <c r="F18" s="294">
        <f>'4.sz.m.ÖNK kiadás'!F19</f>
        <v>75804348</v>
      </c>
      <c r="G18" s="294">
        <f>'4.sz.m.ÖNK kiadás'!G19</f>
        <v>75804348</v>
      </c>
      <c r="H18" s="294">
        <f>'4.sz.m.ÖNK kiadás'!H19</f>
        <v>151989948</v>
      </c>
      <c r="I18" s="294">
        <f>'4.sz.m.ÖNK kiadás'!I19</f>
        <v>193651237</v>
      </c>
      <c r="J18" s="294">
        <f>'4.sz.m.ÖNK kiadás'!J19</f>
        <v>0</v>
      </c>
      <c r="K18" s="294">
        <f>'4.sz.m.ÖNK kiadás'!L19+'5.1 sz. m Köz Hiv'!L42+'5.2 sz. m ÁMK'!L45</f>
        <v>71511216</v>
      </c>
      <c r="L18" s="294">
        <f>'4.sz.m.ÖNK kiadás'!M19+'5.1 sz. m Köz Hiv'!M42+'5.2 sz. m ÁMK'!M45</f>
        <v>71511216</v>
      </c>
      <c r="M18" s="294">
        <f>'4.sz.m.ÖNK kiadás'!N19+'5.1 sz. m Köz Hiv'!N42+'5.2 sz. m ÁMK'!N45</f>
        <v>71511216</v>
      </c>
      <c r="N18" s="294">
        <f>'4.sz.m.ÖNK kiadás'!O19+'5.1 sz. m Köz Hiv'!O42+'5.2 sz. m ÁMK'!O45</f>
        <v>147696816</v>
      </c>
      <c r="O18" s="294">
        <f>'4.sz.m.ÖNK kiadás'!P19+'5.1 sz. m Köz Hiv'!P42+'5.2 sz. m ÁMK'!P45</f>
        <v>189358105</v>
      </c>
      <c r="P18" s="294" t="e">
        <f>'4.sz.m.ÖNK kiadás'!Q19+'5.1 sz. m Köz Hiv'!Q42+'5.2 sz. m ÁMK'!Q45</f>
        <v>#REF!</v>
      </c>
      <c r="Q18" s="294" t="e">
        <f>'4.sz.m.ÖNK kiadás'!R19+'5.1 sz. m Köz Hiv'!R42+'5.2 sz. m ÁMK'!R45</f>
        <v>#REF!</v>
      </c>
      <c r="R18" s="294">
        <f>'4.sz.m.ÖNK kiadás'!S19</f>
        <v>4293132</v>
      </c>
      <c r="S18" s="294">
        <f>'4.sz.m.ÖNK kiadás'!T19</f>
        <v>4293132</v>
      </c>
      <c r="T18" s="294">
        <f>'4.sz.m.ÖNK kiadás'!U19</f>
        <v>4293132</v>
      </c>
      <c r="U18" s="294">
        <f>'4.sz.m.ÖNK kiadás'!V19</f>
        <v>4293132</v>
      </c>
      <c r="V18" s="294">
        <f>'4.sz.m.ÖNK kiadás'!W19</f>
        <v>4293132</v>
      </c>
      <c r="W18" s="242">
        <f>'4.sz.m.ÖNK kiadás'!X19</f>
        <v>473377</v>
      </c>
      <c r="X18" s="294">
        <v>0</v>
      </c>
      <c r="Y18" s="294">
        <v>0</v>
      </c>
      <c r="Z18" s="294">
        <v>0</v>
      </c>
      <c r="AA18" s="294">
        <v>0</v>
      </c>
      <c r="AB18" s="294">
        <v>0</v>
      </c>
      <c r="AC18" s="242"/>
      <c r="AD18" s="704"/>
    </row>
    <row r="19" spans="1:30" s="4" customFormat="1" ht="33" customHeight="1">
      <c r="A19" s="80"/>
      <c r="B19" s="60" t="s">
        <v>40</v>
      </c>
      <c r="C19" s="1112" t="s">
        <v>94</v>
      </c>
      <c r="D19" s="1112"/>
      <c r="E19" s="294">
        <f>'4.sz.m.ÖNK kiadás'!E20</f>
        <v>6700000</v>
      </c>
      <c r="F19" s="294">
        <f>'4.sz.m.ÖNK kiadás'!F20</f>
        <v>6700089</v>
      </c>
      <c r="G19" s="294">
        <f>'4.sz.m.ÖNK kiadás'!G20</f>
        <v>6700089</v>
      </c>
      <c r="H19" s="294">
        <f>'4.sz.m.ÖNK kiadás'!H20</f>
        <v>7555089</v>
      </c>
      <c r="I19" s="294">
        <f>'4.sz.m.ÖNK kiadás'!I20</f>
        <v>7975089</v>
      </c>
      <c r="J19" s="294">
        <f>'4.sz.m.ÖNK kiadás'!J20</f>
        <v>0</v>
      </c>
      <c r="K19" s="294">
        <f>'4.sz.m.ÖNK kiadás'!L20</f>
        <v>0</v>
      </c>
      <c r="L19" s="294">
        <f>'4.sz.m.ÖNK kiadás'!M20</f>
        <v>89</v>
      </c>
      <c r="M19" s="294">
        <f>'4.sz.m.ÖNK kiadás'!N20</f>
        <v>89</v>
      </c>
      <c r="N19" s="294">
        <f>'4.sz.m.ÖNK kiadás'!O20</f>
        <v>5089</v>
      </c>
      <c r="O19" s="294">
        <f>'4.sz.m.ÖNK kiadás'!P20</f>
        <v>5089</v>
      </c>
      <c r="P19" s="294">
        <f>'4.sz.m.ÖNK kiadás'!Q20</f>
        <v>0</v>
      </c>
      <c r="Q19" s="294" t="e">
        <f>'4.sz.m.ÖNK kiadás'!R20</f>
        <v>#DIV/0!</v>
      </c>
      <c r="R19" s="294">
        <f>'4.sz.m.ÖNK kiadás'!S20</f>
        <v>6700000</v>
      </c>
      <c r="S19" s="294">
        <f>'4.sz.m.ÖNK kiadás'!T20</f>
        <v>6700000</v>
      </c>
      <c r="T19" s="294">
        <f>'4.sz.m.ÖNK kiadás'!U20</f>
        <v>6700000</v>
      </c>
      <c r="U19" s="294">
        <f>'4.sz.m.ÖNK kiadás'!V20</f>
        <v>7550000</v>
      </c>
      <c r="V19" s="294">
        <f>'4.sz.m.ÖNK kiadás'!W20</f>
        <v>7970000</v>
      </c>
      <c r="W19" s="242">
        <f>'4.sz.m.ÖNK kiadás'!X20</f>
        <v>0</v>
      </c>
      <c r="X19" s="294">
        <v>0</v>
      </c>
      <c r="Y19" s="294">
        <v>0</v>
      </c>
      <c r="Z19" s="294">
        <v>0</v>
      </c>
      <c r="AA19" s="294">
        <v>0</v>
      </c>
      <c r="AB19" s="294">
        <v>0</v>
      </c>
      <c r="AC19" s="242"/>
      <c r="AD19" s="704"/>
    </row>
    <row r="20" spans="1:30" s="4" customFormat="1" ht="33" customHeight="1">
      <c r="A20" s="57"/>
      <c r="B20" s="61"/>
      <c r="C20" s="61" t="s">
        <v>95</v>
      </c>
      <c r="D20" s="201" t="s">
        <v>85</v>
      </c>
      <c r="E20" s="294">
        <f>'4.sz.m.ÖNK kiadás'!E21</f>
        <v>6700000</v>
      </c>
      <c r="F20" s="294">
        <f>'4.sz.m.ÖNK kiadás'!F21</f>
        <v>6700000</v>
      </c>
      <c r="G20" s="294">
        <f>'4.sz.m.ÖNK kiadás'!G21</f>
        <v>6700000</v>
      </c>
      <c r="H20" s="294">
        <f>'4.sz.m.ÖNK kiadás'!H21</f>
        <v>7550000</v>
      </c>
      <c r="I20" s="294">
        <f>'4.sz.m.ÖNK kiadás'!I21</f>
        <v>7970000</v>
      </c>
      <c r="J20" s="294">
        <f>'4.sz.m.ÖNK kiadás'!J21</f>
        <v>0</v>
      </c>
      <c r="K20" s="294">
        <f>'4.sz.m.ÖNK kiadás'!L21</f>
        <v>0</v>
      </c>
      <c r="L20" s="294">
        <f>'4.sz.m.ÖNK kiadás'!M21</f>
        <v>0</v>
      </c>
      <c r="M20" s="294">
        <f>'4.sz.m.ÖNK kiadás'!N21</f>
        <v>0</v>
      </c>
      <c r="N20" s="294">
        <f>'4.sz.m.ÖNK kiadás'!O21</f>
        <v>0</v>
      </c>
      <c r="O20" s="294">
        <f>'4.sz.m.ÖNK kiadás'!P21</f>
        <v>0</v>
      </c>
      <c r="P20" s="294">
        <f>'4.sz.m.ÖNK kiadás'!Q21</f>
        <v>0</v>
      </c>
      <c r="Q20" s="294" t="e">
        <f>'4.sz.m.ÖNK kiadás'!R21</f>
        <v>#DIV/0!</v>
      </c>
      <c r="R20" s="294">
        <f>'4.sz.m.ÖNK kiadás'!S21</f>
        <v>6700000</v>
      </c>
      <c r="S20" s="294">
        <f>'4.sz.m.ÖNK kiadás'!T21</f>
        <v>6700000</v>
      </c>
      <c r="T20" s="294">
        <f>'4.sz.m.ÖNK kiadás'!U21</f>
        <v>6700000</v>
      </c>
      <c r="U20" s="294">
        <f>'4.sz.m.ÖNK kiadás'!V21</f>
        <v>7550000</v>
      </c>
      <c r="V20" s="294">
        <f>'4.sz.m.ÖNK kiadás'!W21</f>
        <v>7970000</v>
      </c>
      <c r="W20" s="242">
        <f>'4.sz.m.ÖNK kiadás'!X21</f>
        <v>0</v>
      </c>
      <c r="X20" s="294">
        <v>0</v>
      </c>
      <c r="Y20" s="294">
        <v>0</v>
      </c>
      <c r="Z20" s="294">
        <v>0</v>
      </c>
      <c r="AA20" s="294">
        <v>0</v>
      </c>
      <c r="AB20" s="294">
        <v>0</v>
      </c>
      <c r="AC20" s="242"/>
      <c r="AD20" s="704"/>
    </row>
    <row r="21" spans="1:30" s="4" customFormat="1" ht="33" customHeight="1">
      <c r="A21" s="57"/>
      <c r="B21" s="61"/>
      <c r="C21" s="61" t="s">
        <v>96</v>
      </c>
      <c r="D21" s="201" t="s">
        <v>86</v>
      </c>
      <c r="E21" s="294">
        <f>'4.sz.m.ÖNK kiadás'!E22</f>
        <v>0</v>
      </c>
      <c r="F21" s="294">
        <f>'4.sz.m.ÖNK kiadás'!F22</f>
        <v>89</v>
      </c>
      <c r="G21" s="294">
        <f>'4.sz.m.ÖNK kiadás'!G22</f>
        <v>89</v>
      </c>
      <c r="H21" s="294">
        <f>'4.sz.m.ÖNK kiadás'!H22</f>
        <v>5089</v>
      </c>
      <c r="I21" s="294">
        <f>'4.sz.m.ÖNK kiadás'!I22</f>
        <v>5089</v>
      </c>
      <c r="J21" s="294">
        <f>'4.sz.m.ÖNK kiadás'!J22</f>
        <v>0</v>
      </c>
      <c r="K21" s="294">
        <f>'4.sz.m.ÖNK kiadás'!L22</f>
        <v>0</v>
      </c>
      <c r="L21" s="294">
        <f>'4.sz.m.ÖNK kiadás'!M22</f>
        <v>89</v>
      </c>
      <c r="M21" s="294">
        <f>'4.sz.m.ÖNK kiadás'!N22</f>
        <v>89</v>
      </c>
      <c r="N21" s="294">
        <f>'4.sz.m.ÖNK kiadás'!O22</f>
        <v>5089</v>
      </c>
      <c r="O21" s="294">
        <f>'4.sz.m.ÖNK kiadás'!P22</f>
        <v>5089</v>
      </c>
      <c r="P21" s="294">
        <f>'4.sz.m.ÖNK kiadás'!Q22</f>
        <v>0</v>
      </c>
      <c r="Q21" s="294">
        <f>'4.sz.m.ÖNK kiadás'!R22</f>
        <v>0</v>
      </c>
      <c r="R21" s="294">
        <v>0</v>
      </c>
      <c r="S21" s="294">
        <v>0</v>
      </c>
      <c r="T21" s="294">
        <v>0</v>
      </c>
      <c r="U21" s="294">
        <v>0</v>
      </c>
      <c r="V21" s="294">
        <v>0</v>
      </c>
      <c r="W21" s="242"/>
      <c r="X21" s="294">
        <v>0</v>
      </c>
      <c r="Y21" s="294">
        <v>0</v>
      </c>
      <c r="Z21" s="294">
        <v>0</v>
      </c>
      <c r="AA21" s="294">
        <v>0</v>
      </c>
      <c r="AB21" s="294">
        <v>0</v>
      </c>
      <c r="AC21" s="242"/>
      <c r="AD21" s="704"/>
    </row>
    <row r="22" spans="1:30" s="4" customFormat="1" ht="33" customHeight="1">
      <c r="A22" s="80"/>
      <c r="B22" s="201"/>
      <c r="C22" s="61" t="s">
        <v>97</v>
      </c>
      <c r="D22" s="201" t="s">
        <v>476</v>
      </c>
      <c r="E22" s="294">
        <f>'4.sz.m.ÖNK kiadás'!E23</f>
        <v>0</v>
      </c>
      <c r="F22" s="294">
        <f>'4.sz.m.ÖNK kiadás'!F23</f>
        <v>0</v>
      </c>
      <c r="G22" s="294">
        <f>'4.sz.m.ÖNK kiadás'!G23</f>
        <v>0</v>
      </c>
      <c r="H22" s="294">
        <f>'4.sz.m.ÖNK kiadás'!H23</f>
        <v>0</v>
      </c>
      <c r="I22" s="294">
        <f>'4.sz.m.ÖNK kiadás'!I23</f>
        <v>0</v>
      </c>
      <c r="J22" s="294">
        <f>'4.sz.m.ÖNK kiadás'!J23</f>
        <v>0</v>
      </c>
      <c r="K22" s="294">
        <f>'4.sz.m.ÖNK kiadás'!L23</f>
        <v>0</v>
      </c>
      <c r="L22" s="294">
        <f>'4.sz.m.ÖNK kiadás'!M23</f>
        <v>0</v>
      </c>
      <c r="M22" s="294">
        <f>'4.sz.m.ÖNK kiadás'!N23</f>
        <v>0</v>
      </c>
      <c r="N22" s="294">
        <f>'4.sz.m.ÖNK kiadás'!O23</f>
        <v>0</v>
      </c>
      <c r="O22" s="294">
        <f>'4.sz.m.ÖNK kiadás'!P23</f>
        <v>0</v>
      </c>
      <c r="P22" s="294">
        <f>'4.sz.m.ÖNK kiadás'!Q23</f>
        <v>0</v>
      </c>
      <c r="Q22" s="294">
        <f>'4.sz.m.ÖNK kiadás'!R23</f>
        <v>0</v>
      </c>
      <c r="R22" s="294">
        <v>0</v>
      </c>
      <c r="S22" s="294">
        <v>0</v>
      </c>
      <c r="T22" s="294">
        <v>0</v>
      </c>
      <c r="U22" s="294">
        <v>0</v>
      </c>
      <c r="V22" s="294">
        <v>0</v>
      </c>
      <c r="W22" s="242">
        <f>'4.sz.m.ÖNK kiadás'!X23</f>
        <v>0</v>
      </c>
      <c r="X22" s="294">
        <v>0</v>
      </c>
      <c r="Y22" s="294">
        <v>0</v>
      </c>
      <c r="Z22" s="294">
        <v>0</v>
      </c>
      <c r="AA22" s="294">
        <v>0</v>
      </c>
      <c r="AB22" s="294">
        <v>0</v>
      </c>
      <c r="AC22" s="242"/>
      <c r="AD22" s="704"/>
    </row>
    <row r="23" spans="1:30" s="4" customFormat="1" ht="33" customHeight="1" thickBot="1">
      <c r="A23" s="224"/>
      <c r="B23" s="225"/>
      <c r="C23" s="226" t="s">
        <v>208</v>
      </c>
      <c r="D23" s="225" t="s">
        <v>209</v>
      </c>
      <c r="E23" s="294">
        <f>'4.sz.m.ÖNK kiadás'!E24</f>
        <v>0</v>
      </c>
      <c r="F23" s="294">
        <f>'4.sz.m.ÖNK kiadás'!F24</f>
        <v>0</v>
      </c>
      <c r="G23" s="294">
        <f>'4.sz.m.ÖNK kiadás'!G24</f>
        <v>0</v>
      </c>
      <c r="H23" s="294">
        <f>'4.sz.m.ÖNK kiadás'!H24</f>
        <v>0</v>
      </c>
      <c r="I23" s="294">
        <f>'4.sz.m.ÖNK kiadás'!I24</f>
        <v>0</v>
      </c>
      <c r="J23" s="294">
        <f>'4.sz.m.ÖNK kiadás'!J24</f>
        <v>0</v>
      </c>
      <c r="K23" s="294">
        <f>'4.sz.m.ÖNK kiadás'!L24</f>
        <v>0</v>
      </c>
      <c r="L23" s="294">
        <f>'4.sz.m.ÖNK kiadás'!M24</f>
        <v>0</v>
      </c>
      <c r="M23" s="294">
        <f>'4.sz.m.ÖNK kiadás'!N24</f>
        <v>0</v>
      </c>
      <c r="N23" s="294">
        <f>'4.sz.m.ÖNK kiadás'!O24</f>
        <v>0</v>
      </c>
      <c r="O23" s="294">
        <f>'4.sz.m.ÖNK kiadás'!P24</f>
        <v>0</v>
      </c>
      <c r="P23" s="294">
        <f>'4.sz.m.ÖNK kiadás'!Q24</f>
        <v>0</v>
      </c>
      <c r="Q23" s="294">
        <f>'4.sz.m.ÖNK kiadás'!R24</f>
        <v>0</v>
      </c>
      <c r="R23" s="294">
        <v>0</v>
      </c>
      <c r="S23" s="294">
        <v>0</v>
      </c>
      <c r="T23" s="294">
        <v>0</v>
      </c>
      <c r="U23" s="294">
        <v>0</v>
      </c>
      <c r="V23" s="294">
        <v>0</v>
      </c>
      <c r="W23" s="242"/>
      <c r="X23" s="294">
        <v>0</v>
      </c>
      <c r="Y23" s="294">
        <v>0</v>
      </c>
      <c r="Z23" s="294">
        <v>0</v>
      </c>
      <c r="AA23" s="294">
        <v>0</v>
      </c>
      <c r="AB23" s="294">
        <v>0</v>
      </c>
      <c r="AC23" s="242"/>
      <c r="AD23" s="704"/>
    </row>
    <row r="24" spans="1:30" s="4" customFormat="1" ht="33" customHeight="1" thickBot="1">
      <c r="A24" s="69" t="s">
        <v>9</v>
      </c>
      <c r="B24" s="1142" t="s">
        <v>98</v>
      </c>
      <c r="C24" s="1142"/>
      <c r="D24" s="1142"/>
      <c r="E24" s="293">
        <f aca="true" t="shared" si="8" ref="E24:P24">SUM(E25:E27)</f>
        <v>86768299</v>
      </c>
      <c r="F24" s="293">
        <f t="shared" si="8"/>
        <v>79038902</v>
      </c>
      <c r="G24" s="293">
        <f t="shared" si="8"/>
        <v>67762298</v>
      </c>
      <c r="H24" s="293">
        <f>SUM(H25:H27)</f>
        <v>66635603</v>
      </c>
      <c r="I24" s="293">
        <f t="shared" si="8"/>
        <v>0</v>
      </c>
      <c r="J24" s="293">
        <f t="shared" si="8"/>
        <v>0</v>
      </c>
      <c r="K24" s="293">
        <f t="shared" si="8"/>
        <v>86768299</v>
      </c>
      <c r="L24" s="293">
        <f t="shared" si="8"/>
        <v>79038902</v>
      </c>
      <c r="M24" s="293">
        <f>SUM(M25:M27)</f>
        <v>67762298</v>
      </c>
      <c r="N24" s="293">
        <f>SUM(N25:N27)</f>
        <v>66635603</v>
      </c>
      <c r="O24" s="293">
        <f>SUM(O25:O27)</f>
        <v>0</v>
      </c>
      <c r="P24" s="293">
        <f>SUM(P25:P27)</f>
        <v>0</v>
      </c>
      <c r="Q24" s="293">
        <f>SUM(Q25:Q27)</f>
        <v>0</v>
      </c>
      <c r="R24" s="293">
        <f aca="true" t="shared" si="9" ref="R24:AD24">SUM(R25:R27)</f>
        <v>0</v>
      </c>
      <c r="S24" s="293">
        <f t="shared" si="9"/>
        <v>0</v>
      </c>
      <c r="T24" s="293">
        <f>SUM(T25:T27)</f>
        <v>0</v>
      </c>
      <c r="U24" s="293">
        <f>SUM(U25:U27)</f>
        <v>0</v>
      </c>
      <c r="V24" s="293">
        <f>SUM(V25:V27)</f>
        <v>0</v>
      </c>
      <c r="W24" s="39">
        <f t="shared" si="9"/>
        <v>0</v>
      </c>
      <c r="X24" s="293">
        <f t="shared" si="9"/>
        <v>0</v>
      </c>
      <c r="Y24" s="293">
        <f t="shared" si="9"/>
        <v>0</v>
      </c>
      <c r="Z24" s="293">
        <f>SUM(Z25:Z27)</f>
        <v>0</v>
      </c>
      <c r="AA24" s="293">
        <f>SUM(AA25:AA27)</f>
        <v>0</v>
      </c>
      <c r="AB24" s="293">
        <f>SUM(AB25:AB27)</f>
        <v>0</v>
      </c>
      <c r="AC24" s="39">
        <f t="shared" si="9"/>
        <v>0</v>
      </c>
      <c r="AD24" s="703">
        <f t="shared" si="9"/>
        <v>0</v>
      </c>
    </row>
    <row r="25" spans="1:30" s="4" customFormat="1" ht="33" customHeight="1">
      <c r="A25" s="68"/>
      <c r="B25" s="73" t="s">
        <v>41</v>
      </c>
      <c r="C25" s="1149" t="s">
        <v>2</v>
      </c>
      <c r="D25" s="1149"/>
      <c r="E25" s="294">
        <f>'4.sz.m.ÖNK kiadás'!E26</f>
        <v>86768299</v>
      </c>
      <c r="F25" s="294">
        <f>'4.sz.m.ÖNK kiadás'!F26</f>
        <v>79038902</v>
      </c>
      <c r="G25" s="294">
        <f>'4.sz.m.ÖNK kiadás'!G26</f>
        <v>67762298</v>
      </c>
      <c r="H25" s="294">
        <f>'4.sz.m.ÖNK kiadás'!H26</f>
        <v>66635603</v>
      </c>
      <c r="I25" s="294">
        <f>'4.sz.m.ÖNK kiadás'!I26</f>
        <v>0</v>
      </c>
      <c r="J25" s="294">
        <f>'4.sz.m.ÖNK kiadás'!J26</f>
        <v>0</v>
      </c>
      <c r="K25" s="294">
        <f>'4.sz.m.ÖNK kiadás'!L26</f>
        <v>86768299</v>
      </c>
      <c r="L25" s="294">
        <f>'4.sz.m.ÖNK kiadás'!M26</f>
        <v>79038902</v>
      </c>
      <c r="M25" s="294">
        <f>'4.sz.m.ÖNK kiadás'!N26</f>
        <v>67762298</v>
      </c>
      <c r="N25" s="294">
        <f>'4.sz.m.ÖNK kiadás'!O26</f>
        <v>66635603</v>
      </c>
      <c r="O25" s="294">
        <f>'4.sz.m.ÖNK kiadás'!P26</f>
        <v>0</v>
      </c>
      <c r="P25" s="294">
        <f>'4.sz.m.ÖNK kiadás'!Q26</f>
        <v>0</v>
      </c>
      <c r="Q25" s="294">
        <f>'4.sz.m.ÖNK kiadás'!R26</f>
        <v>0</v>
      </c>
      <c r="R25" s="294">
        <v>0</v>
      </c>
      <c r="S25" s="294">
        <v>0</v>
      </c>
      <c r="T25" s="294">
        <v>0</v>
      </c>
      <c r="U25" s="294">
        <v>0</v>
      </c>
      <c r="V25" s="294">
        <v>0</v>
      </c>
      <c r="W25" s="242"/>
      <c r="X25" s="294">
        <v>0</v>
      </c>
      <c r="Y25" s="294">
        <v>0</v>
      </c>
      <c r="Z25" s="294">
        <v>0</v>
      </c>
      <c r="AA25" s="294">
        <v>0</v>
      </c>
      <c r="AB25" s="294">
        <v>0</v>
      </c>
      <c r="AC25" s="242"/>
      <c r="AD25" s="704"/>
    </row>
    <row r="26" spans="1:30" s="7" customFormat="1" ht="33" customHeight="1">
      <c r="A26" s="78"/>
      <c r="B26" s="60" t="s">
        <v>42</v>
      </c>
      <c r="C26" s="1158" t="s">
        <v>278</v>
      </c>
      <c r="D26" s="1158"/>
      <c r="E26" s="294">
        <v>0</v>
      </c>
      <c r="F26" s="294">
        <v>0</v>
      </c>
      <c r="G26" s="294">
        <v>0</v>
      </c>
      <c r="H26" s="294">
        <v>0</v>
      </c>
      <c r="I26" s="294">
        <v>0</v>
      </c>
      <c r="J26" s="294">
        <v>0</v>
      </c>
      <c r="K26" s="294">
        <v>0</v>
      </c>
      <c r="L26" s="294">
        <v>0</v>
      </c>
      <c r="M26" s="294">
        <v>0</v>
      </c>
      <c r="N26" s="294">
        <v>0</v>
      </c>
      <c r="O26" s="294">
        <v>0</v>
      </c>
      <c r="P26" s="294">
        <v>0</v>
      </c>
      <c r="Q26" s="294">
        <v>0</v>
      </c>
      <c r="R26" s="294">
        <v>0</v>
      </c>
      <c r="S26" s="294">
        <v>0</v>
      </c>
      <c r="T26" s="294">
        <v>0</v>
      </c>
      <c r="U26" s="294">
        <v>0</v>
      </c>
      <c r="V26" s="294">
        <v>0</v>
      </c>
      <c r="W26" s="242"/>
      <c r="X26" s="294">
        <v>0</v>
      </c>
      <c r="Y26" s="294">
        <v>0</v>
      </c>
      <c r="Z26" s="294">
        <v>0</v>
      </c>
      <c r="AA26" s="294">
        <v>0</v>
      </c>
      <c r="AB26" s="294">
        <v>0</v>
      </c>
      <c r="AC26" s="242"/>
      <c r="AD26" s="704"/>
    </row>
    <row r="27" spans="1:30" s="7" customFormat="1" ht="33" customHeight="1" thickBot="1">
      <c r="A27" s="84"/>
      <c r="B27" s="74" t="s">
        <v>66</v>
      </c>
      <c r="C27" s="85" t="s">
        <v>99</v>
      </c>
      <c r="D27" s="85"/>
      <c r="E27" s="294">
        <v>0</v>
      </c>
      <c r="F27" s="294">
        <v>0</v>
      </c>
      <c r="G27" s="294">
        <v>0</v>
      </c>
      <c r="H27" s="294">
        <v>0</v>
      </c>
      <c r="I27" s="294">
        <v>0</v>
      </c>
      <c r="J27" s="294">
        <v>0</v>
      </c>
      <c r="K27" s="294">
        <v>0</v>
      </c>
      <c r="L27" s="294">
        <v>0</v>
      </c>
      <c r="M27" s="294">
        <v>0</v>
      </c>
      <c r="N27" s="294">
        <v>0</v>
      </c>
      <c r="O27" s="294">
        <v>0</v>
      </c>
      <c r="P27" s="294">
        <v>0</v>
      </c>
      <c r="Q27" s="294">
        <v>0</v>
      </c>
      <c r="R27" s="294">
        <v>0</v>
      </c>
      <c r="S27" s="294">
        <v>0</v>
      </c>
      <c r="T27" s="294">
        <v>0</v>
      </c>
      <c r="U27" s="294">
        <v>0</v>
      </c>
      <c r="V27" s="294">
        <v>0</v>
      </c>
      <c r="W27" s="242"/>
      <c r="X27" s="294">
        <v>0</v>
      </c>
      <c r="Y27" s="294">
        <v>0</v>
      </c>
      <c r="Z27" s="294">
        <v>0</v>
      </c>
      <c r="AA27" s="294">
        <v>0</v>
      </c>
      <c r="AB27" s="294">
        <v>0</v>
      </c>
      <c r="AC27" s="242"/>
      <c r="AD27" s="704"/>
    </row>
    <row r="28" spans="1:30" s="7" customFormat="1" ht="33" customHeight="1" thickBot="1">
      <c r="A28" s="48" t="s">
        <v>10</v>
      </c>
      <c r="B28" s="75" t="s">
        <v>100</v>
      </c>
      <c r="C28" s="75"/>
      <c r="D28" s="75"/>
      <c r="E28" s="295">
        <v>0</v>
      </c>
      <c r="F28" s="295">
        <v>0</v>
      </c>
      <c r="G28" s="295">
        <v>0</v>
      </c>
      <c r="H28" s="295">
        <v>0</v>
      </c>
      <c r="I28" s="295">
        <v>0</v>
      </c>
      <c r="J28" s="295">
        <v>0</v>
      </c>
      <c r="K28" s="295">
        <v>0</v>
      </c>
      <c r="L28" s="295">
        <v>0</v>
      </c>
      <c r="M28" s="295">
        <v>0</v>
      </c>
      <c r="N28" s="295">
        <v>0</v>
      </c>
      <c r="O28" s="295">
        <v>0</v>
      </c>
      <c r="P28" s="295">
        <v>0</v>
      </c>
      <c r="Q28" s="295">
        <v>0</v>
      </c>
      <c r="R28" s="295">
        <v>0</v>
      </c>
      <c r="S28" s="295">
        <v>0</v>
      </c>
      <c r="T28" s="295">
        <v>0</v>
      </c>
      <c r="U28" s="295">
        <v>0</v>
      </c>
      <c r="V28" s="295">
        <v>0</v>
      </c>
      <c r="W28" s="296"/>
      <c r="X28" s="295">
        <v>0</v>
      </c>
      <c r="Y28" s="295">
        <v>0</v>
      </c>
      <c r="Z28" s="295">
        <v>0</v>
      </c>
      <c r="AA28" s="295">
        <v>0</v>
      </c>
      <c r="AB28" s="295">
        <v>0</v>
      </c>
      <c r="AC28" s="296"/>
      <c r="AD28" s="705"/>
    </row>
    <row r="29" spans="1:30" s="7" customFormat="1" ht="33" customHeight="1" thickBot="1">
      <c r="A29" s="69" t="s">
        <v>11</v>
      </c>
      <c r="B29" s="1130" t="s">
        <v>101</v>
      </c>
      <c r="C29" s="1130"/>
      <c r="D29" s="1130"/>
      <c r="E29" s="293">
        <f aca="true" t="shared" si="10" ref="E29:P29">E5+E16+E24+E28</f>
        <v>806852077</v>
      </c>
      <c r="F29" s="293">
        <f t="shared" si="10"/>
        <v>807124579</v>
      </c>
      <c r="G29" s="293">
        <f t="shared" si="10"/>
        <v>810389347</v>
      </c>
      <c r="H29" s="293">
        <f>H5+H16+H24+H28</f>
        <v>931769975</v>
      </c>
      <c r="I29" s="293">
        <f t="shared" si="10"/>
        <v>1029864529</v>
      </c>
      <c r="J29" s="293">
        <f t="shared" si="10"/>
        <v>0</v>
      </c>
      <c r="K29" s="293">
        <f t="shared" si="10"/>
        <v>708239442</v>
      </c>
      <c r="L29" s="293">
        <f>L5+L16+L24+L28</f>
        <v>708511944</v>
      </c>
      <c r="M29" s="293">
        <f>M5+M16+M24+M28</f>
        <v>711566712</v>
      </c>
      <c r="N29" s="293">
        <f>N5+N16+N24+N28</f>
        <v>831217340</v>
      </c>
      <c r="O29" s="293">
        <f>O5+O16+O24+O28</f>
        <v>933220988</v>
      </c>
      <c r="P29" s="293" t="e">
        <f>P5+P16+P24+P28</f>
        <v>#REF!</v>
      </c>
      <c r="Q29" s="293" t="e">
        <f>Q5+Q16+Q24+Q28</f>
        <v>#REF!</v>
      </c>
      <c r="R29" s="293">
        <f>R5+R16+R24+R28</f>
        <v>98612635</v>
      </c>
      <c r="S29" s="293">
        <f>S5+S16+S24+S28</f>
        <v>98612635</v>
      </c>
      <c r="T29" s="293">
        <f>T5+T16+T24+T28</f>
        <v>98822635</v>
      </c>
      <c r="U29" s="293">
        <f>U5+U16+U24+U28</f>
        <v>100552635</v>
      </c>
      <c r="V29" s="293">
        <f>V5+V16+V24+V28</f>
        <v>96643541</v>
      </c>
      <c r="W29" s="39">
        <f>W5+W16+W24+W28</f>
        <v>20501098</v>
      </c>
      <c r="X29" s="293">
        <f>X5+X16+X24+X28</f>
        <v>6843890</v>
      </c>
      <c r="Y29" s="293">
        <f>Y5+Y16+Y24+Y28</f>
        <v>6843890</v>
      </c>
      <c r="Z29" s="293">
        <f>Z5+Z16+Z24+Z28</f>
        <v>6843890</v>
      </c>
      <c r="AA29" s="293">
        <f>AA5+AA16+AA24+AA28</f>
        <v>6843890</v>
      </c>
      <c r="AB29" s="293">
        <f>AB5+AB16+AB24+AB28</f>
        <v>6843890</v>
      </c>
      <c r="AC29" s="39">
        <f>AC5+AC16+AC24+AC28</f>
        <v>0</v>
      </c>
      <c r="AD29" s="703">
        <f>AD5+AD16+AD24+AD28</f>
        <v>0</v>
      </c>
    </row>
    <row r="30" spans="1:30" s="7" customFormat="1" ht="33" customHeight="1" thickBot="1">
      <c r="A30" s="48" t="s">
        <v>12</v>
      </c>
      <c r="B30" s="1141" t="s">
        <v>210</v>
      </c>
      <c r="C30" s="1141"/>
      <c r="D30" s="1141"/>
      <c r="E30" s="297">
        <f>SUM(E31:E33)</f>
        <v>12580358</v>
      </c>
      <c r="F30" s="297">
        <f>SUM(F31:F33)</f>
        <v>12580358</v>
      </c>
      <c r="G30" s="297">
        <f>SUM(G31:G33)</f>
        <v>12580358</v>
      </c>
      <c r="H30" s="297">
        <f>SUM(H31:H33)</f>
        <v>12580358</v>
      </c>
      <c r="I30" s="297">
        <f>SUM(I31:I33)</f>
        <v>12580358</v>
      </c>
      <c r="J30" s="297">
        <f>SUM(J31:J33)</f>
        <v>0</v>
      </c>
      <c r="K30" s="297">
        <f>SUM(K31:K33)</f>
        <v>12580358</v>
      </c>
      <c r="L30" s="297">
        <f>SUM(L31:L33)</f>
        <v>12580358</v>
      </c>
      <c r="M30" s="297">
        <f>SUM(M31:M33)</f>
        <v>12580358</v>
      </c>
      <c r="N30" s="297">
        <f>SUM(N31:N33)</f>
        <v>12580358</v>
      </c>
      <c r="O30" s="297">
        <f>SUM(O31:O33)</f>
        <v>12580358</v>
      </c>
      <c r="P30" s="297">
        <f>SUM(P31:P33)</f>
        <v>0</v>
      </c>
      <c r="Q30" s="297">
        <f>SUM(Q31:Q33)</f>
        <v>0</v>
      </c>
      <c r="R30" s="297"/>
      <c r="S30" s="297"/>
      <c r="T30" s="297"/>
      <c r="U30" s="297"/>
      <c r="V30" s="297"/>
      <c r="W30" s="72"/>
      <c r="X30" s="297"/>
      <c r="Y30" s="297"/>
      <c r="Z30" s="297"/>
      <c r="AA30" s="297"/>
      <c r="AB30" s="297"/>
      <c r="AC30" s="72"/>
      <c r="AD30" s="706"/>
    </row>
    <row r="31" spans="1:30" s="4" customFormat="1" ht="33" customHeight="1">
      <c r="A31" s="87"/>
      <c r="B31" s="73" t="s">
        <v>45</v>
      </c>
      <c r="C31" s="1124" t="s">
        <v>280</v>
      </c>
      <c r="D31" s="1124"/>
      <c r="E31" s="298">
        <f>'4.sz.m.ÖNK kiadás'!E33</f>
        <v>2267801</v>
      </c>
      <c r="F31" s="298">
        <f>'4.sz.m.ÖNK kiadás'!F33</f>
        <v>2267801</v>
      </c>
      <c r="G31" s="298">
        <f>'4.sz.m.ÖNK kiadás'!G33</f>
        <v>2267801</v>
      </c>
      <c r="H31" s="298">
        <f>'4.sz.m.ÖNK kiadás'!H33</f>
        <v>2267801</v>
      </c>
      <c r="I31" s="298">
        <f>'4.sz.m.ÖNK kiadás'!I33</f>
        <v>2267801</v>
      </c>
      <c r="J31" s="298">
        <f>'4.sz.m.ÖNK kiadás'!J33</f>
        <v>0</v>
      </c>
      <c r="K31" s="298">
        <f>'4.sz.m.ÖNK kiadás'!L33</f>
        <v>2267801</v>
      </c>
      <c r="L31" s="298">
        <f>'4.sz.m.ÖNK kiadás'!M33</f>
        <v>2267801</v>
      </c>
      <c r="M31" s="298">
        <f>'4.sz.m.ÖNK kiadás'!N33</f>
        <v>2267801</v>
      </c>
      <c r="N31" s="298">
        <f>'4.sz.m.ÖNK kiadás'!O33</f>
        <v>2267801</v>
      </c>
      <c r="O31" s="298">
        <f>'4.sz.m.ÖNK kiadás'!P33</f>
        <v>2267801</v>
      </c>
      <c r="P31" s="298">
        <f>'4.sz.m.ÖNK kiadás'!Q33</f>
        <v>0</v>
      </c>
      <c r="Q31" s="298">
        <f>'4.sz.m.ÖNK kiadás'!R33</f>
        <v>0</v>
      </c>
      <c r="R31" s="294">
        <v>0</v>
      </c>
      <c r="S31" s="294">
        <v>0</v>
      </c>
      <c r="T31" s="294">
        <v>0</v>
      </c>
      <c r="U31" s="294">
        <v>0</v>
      </c>
      <c r="V31" s="294">
        <v>0</v>
      </c>
      <c r="W31" s="242"/>
      <c r="X31" s="294">
        <v>0</v>
      </c>
      <c r="Y31" s="294">
        <v>0</v>
      </c>
      <c r="Z31" s="294">
        <v>0</v>
      </c>
      <c r="AA31" s="294">
        <v>0</v>
      </c>
      <c r="AB31" s="294">
        <v>0</v>
      </c>
      <c r="AC31" s="242"/>
      <c r="AD31" s="704"/>
    </row>
    <row r="32" spans="1:30" s="4" customFormat="1" ht="33" customHeight="1">
      <c r="A32" s="83"/>
      <c r="B32" s="74" t="s">
        <v>322</v>
      </c>
      <c r="C32" s="1140" t="s">
        <v>459</v>
      </c>
      <c r="D32" s="1140"/>
      <c r="E32" s="289">
        <f>'4.sz.m.ÖNK kiadás'!E34</f>
        <v>0</v>
      </c>
      <c r="F32" s="289">
        <f>'4.sz.m.ÖNK kiadás'!F34</f>
        <v>0</v>
      </c>
      <c r="G32" s="289">
        <f>'4.sz.m.ÖNK kiadás'!G34</f>
        <v>0</v>
      </c>
      <c r="H32" s="289">
        <f>'4.sz.m.ÖNK kiadás'!H34</f>
        <v>0</v>
      </c>
      <c r="I32" s="289">
        <f>'4.sz.m.ÖNK kiadás'!I34</f>
        <v>0</v>
      </c>
      <c r="J32" s="289">
        <f>'4.sz.m.ÖNK kiadás'!J34</f>
        <v>0</v>
      </c>
      <c r="K32" s="289">
        <f>'4.sz.m.ÖNK kiadás'!L34</f>
        <v>0</v>
      </c>
      <c r="L32" s="289">
        <f>'4.sz.m.ÖNK kiadás'!M34</f>
        <v>0</v>
      </c>
      <c r="M32" s="289">
        <f>'4.sz.m.ÖNK kiadás'!N34</f>
        <v>0</v>
      </c>
      <c r="N32" s="289">
        <f>'4.sz.m.ÖNK kiadás'!O34</f>
        <v>0</v>
      </c>
      <c r="O32" s="289">
        <f>'4.sz.m.ÖNK kiadás'!P34</f>
        <v>0</v>
      </c>
      <c r="P32" s="289">
        <f>'4.sz.m.ÖNK kiadás'!Q34</f>
        <v>0</v>
      </c>
      <c r="Q32" s="289">
        <f>'4.sz.m.ÖNK kiadás'!R34</f>
        <v>0</v>
      </c>
      <c r="R32" s="298">
        <v>0</v>
      </c>
      <c r="S32" s="298">
        <v>0</v>
      </c>
      <c r="T32" s="298">
        <v>0</v>
      </c>
      <c r="U32" s="298">
        <v>0</v>
      </c>
      <c r="V32" s="298">
        <v>0</v>
      </c>
      <c r="W32" s="86"/>
      <c r="X32" s="298">
        <v>0</v>
      </c>
      <c r="Y32" s="298">
        <v>0</v>
      </c>
      <c r="Z32" s="298">
        <v>0</v>
      </c>
      <c r="AA32" s="298">
        <v>0</v>
      </c>
      <c r="AB32" s="298">
        <v>0</v>
      </c>
      <c r="AC32" s="86"/>
      <c r="AD32" s="707"/>
    </row>
    <row r="33" spans="1:30" s="4" customFormat="1" ht="33" customHeight="1" thickBot="1">
      <c r="A33" s="83"/>
      <c r="B33" s="74" t="s">
        <v>430</v>
      </c>
      <c r="C33" s="1148" t="s">
        <v>429</v>
      </c>
      <c r="D33" s="1148"/>
      <c r="E33" s="298">
        <f>'4.sz.m.ÖNK kiadás'!E36</f>
        <v>10312557</v>
      </c>
      <c r="F33" s="298">
        <f>'4.sz.m.ÖNK kiadás'!F36</f>
        <v>10312557</v>
      </c>
      <c r="G33" s="298">
        <f>'4.sz.m.ÖNK kiadás'!G36</f>
        <v>10312557</v>
      </c>
      <c r="H33" s="298">
        <f>'4.sz.m.ÖNK kiadás'!H36</f>
        <v>10312557</v>
      </c>
      <c r="I33" s="298">
        <f>'4.sz.m.ÖNK kiadás'!I36</f>
        <v>10312557</v>
      </c>
      <c r="J33" s="298">
        <f>'4.sz.m.ÖNK kiadás'!J36</f>
        <v>0</v>
      </c>
      <c r="K33" s="298">
        <f>'4.sz.m.ÖNK kiadás'!L36</f>
        <v>10312557</v>
      </c>
      <c r="L33" s="298">
        <f>'4.sz.m.ÖNK kiadás'!M36</f>
        <v>10312557</v>
      </c>
      <c r="M33" s="298">
        <f>'4.sz.m.ÖNK kiadás'!N36</f>
        <v>10312557</v>
      </c>
      <c r="N33" s="298">
        <f>'4.sz.m.ÖNK kiadás'!O36</f>
        <v>10312557</v>
      </c>
      <c r="O33" s="298">
        <f>'4.sz.m.ÖNK kiadás'!P36</f>
        <v>10312557</v>
      </c>
      <c r="P33" s="298">
        <f>'4.sz.m.ÖNK kiadás'!Q36</f>
        <v>0</v>
      </c>
      <c r="Q33" s="298">
        <f>'4.sz.m.ÖNK kiadás'!R36</f>
        <v>0</v>
      </c>
      <c r="R33" s="298">
        <v>0</v>
      </c>
      <c r="S33" s="298">
        <v>0</v>
      </c>
      <c r="T33" s="298">
        <v>0</v>
      </c>
      <c r="U33" s="298">
        <v>0</v>
      </c>
      <c r="V33" s="298">
        <v>0</v>
      </c>
      <c r="W33" s="86"/>
      <c r="X33" s="298">
        <v>0</v>
      </c>
      <c r="Y33" s="298">
        <v>0</v>
      </c>
      <c r="Z33" s="298">
        <v>0</v>
      </c>
      <c r="AA33" s="298">
        <v>0</v>
      </c>
      <c r="AB33" s="298">
        <v>0</v>
      </c>
      <c r="AC33" s="86"/>
      <c r="AD33" s="707"/>
    </row>
    <row r="34" spans="1:30" s="4" customFormat="1" ht="33" customHeight="1" thickBot="1">
      <c r="A34" s="311" t="s">
        <v>13</v>
      </c>
      <c r="B34" s="1150" t="s">
        <v>236</v>
      </c>
      <c r="C34" s="1150"/>
      <c r="D34" s="1150"/>
      <c r="E34" s="312">
        <f aca="true" t="shared" si="11" ref="E34:P34">E29+E30</f>
        <v>819432435</v>
      </c>
      <c r="F34" s="312">
        <f t="shared" si="11"/>
        <v>819704937</v>
      </c>
      <c r="G34" s="312">
        <f t="shared" si="11"/>
        <v>822969705</v>
      </c>
      <c r="H34" s="312">
        <f>H29+H30</f>
        <v>944350333</v>
      </c>
      <c r="I34" s="312">
        <f t="shared" si="11"/>
        <v>1042444887</v>
      </c>
      <c r="J34" s="312">
        <f t="shared" si="11"/>
        <v>0</v>
      </c>
      <c r="K34" s="312">
        <f t="shared" si="11"/>
        <v>720819800</v>
      </c>
      <c r="L34" s="312">
        <f t="shared" si="11"/>
        <v>721092302</v>
      </c>
      <c r="M34" s="312">
        <f>M29+M30</f>
        <v>724147070</v>
      </c>
      <c r="N34" s="312">
        <f>N29+N30</f>
        <v>843797698</v>
      </c>
      <c r="O34" s="312">
        <f>O29+O30</f>
        <v>945801346</v>
      </c>
      <c r="P34" s="312" t="e">
        <f>P29+P30</f>
        <v>#REF!</v>
      </c>
      <c r="Q34" s="312" t="e">
        <f>Q29+Q30</f>
        <v>#REF!</v>
      </c>
      <c r="R34" s="312">
        <f aca="true" t="shared" si="12" ref="R34:AD34">R29+R30</f>
        <v>98612635</v>
      </c>
      <c r="S34" s="312">
        <f t="shared" si="12"/>
        <v>98612635</v>
      </c>
      <c r="T34" s="312">
        <f>T29+T30</f>
        <v>98822635</v>
      </c>
      <c r="U34" s="312">
        <f>U29+U30</f>
        <v>100552635</v>
      </c>
      <c r="V34" s="312">
        <f>V29+V30</f>
        <v>96643541</v>
      </c>
      <c r="W34" s="313">
        <f t="shared" si="12"/>
        <v>20501098</v>
      </c>
      <c r="X34" s="312">
        <f t="shared" si="12"/>
        <v>6843890</v>
      </c>
      <c r="Y34" s="312">
        <f t="shared" si="12"/>
        <v>6843890</v>
      </c>
      <c r="Z34" s="312">
        <f>Z29+Z30</f>
        <v>6843890</v>
      </c>
      <c r="AA34" s="312">
        <f>AA29+AA30</f>
        <v>6843890</v>
      </c>
      <c r="AB34" s="312">
        <f>AB29+AB30</f>
        <v>6843890</v>
      </c>
      <c r="AC34" s="313">
        <f t="shared" si="12"/>
        <v>0</v>
      </c>
      <c r="AD34" s="708">
        <f t="shared" si="12"/>
        <v>0</v>
      </c>
    </row>
    <row r="35" spans="1:30" s="4" customFormat="1" ht="33" customHeight="1" hidden="1" thickBot="1">
      <c r="A35" s="1146" t="s">
        <v>237</v>
      </c>
      <c r="B35" s="1147"/>
      <c r="C35" s="1147"/>
      <c r="D35" s="1147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14"/>
      <c r="X35" s="358"/>
      <c r="Y35" s="358"/>
      <c r="Z35" s="358"/>
      <c r="AA35" s="358"/>
      <c r="AB35" s="358"/>
      <c r="AC35" s="314"/>
      <c r="AD35" s="707"/>
    </row>
    <row r="36" spans="1:30" s="4" customFormat="1" ht="33" customHeight="1" thickBot="1">
      <c r="A36" s="1129" t="s">
        <v>103</v>
      </c>
      <c r="B36" s="1130"/>
      <c r="C36" s="1130"/>
      <c r="D36" s="1130"/>
      <c r="E36" s="293">
        <f aca="true" t="shared" si="13" ref="E36:P36">E34+E35</f>
        <v>819432435</v>
      </c>
      <c r="F36" s="293">
        <f t="shared" si="13"/>
        <v>819704937</v>
      </c>
      <c r="G36" s="293">
        <f t="shared" si="13"/>
        <v>822969705</v>
      </c>
      <c r="H36" s="293">
        <f>H34+H35</f>
        <v>944350333</v>
      </c>
      <c r="I36" s="293">
        <f t="shared" si="13"/>
        <v>1042444887</v>
      </c>
      <c r="J36" s="293">
        <f t="shared" si="13"/>
        <v>0</v>
      </c>
      <c r="K36" s="293">
        <f t="shared" si="13"/>
        <v>720819800</v>
      </c>
      <c r="L36" s="293">
        <f>L34+L35</f>
        <v>721092302</v>
      </c>
      <c r="M36" s="293">
        <f>M34+M35</f>
        <v>724147070</v>
      </c>
      <c r="N36" s="293">
        <f>N34+N35</f>
        <v>843797698</v>
      </c>
      <c r="O36" s="293">
        <f>O34+O35</f>
        <v>945801346</v>
      </c>
      <c r="P36" s="293" t="e">
        <f>P34+P35</f>
        <v>#REF!</v>
      </c>
      <c r="Q36" s="293" t="e">
        <f>Q34+Q35</f>
        <v>#REF!</v>
      </c>
      <c r="R36" s="293">
        <f>R34+R35</f>
        <v>98612635</v>
      </c>
      <c r="S36" s="293">
        <f>S34+S35</f>
        <v>98612635</v>
      </c>
      <c r="T36" s="293">
        <f>T34+T35</f>
        <v>98822635</v>
      </c>
      <c r="U36" s="293">
        <f>U34+U35</f>
        <v>100552635</v>
      </c>
      <c r="V36" s="293">
        <f>V34+V35</f>
        <v>96643541</v>
      </c>
      <c r="W36" s="39">
        <f>W34+W35</f>
        <v>20501098</v>
      </c>
      <c r="X36" s="293">
        <f>X34+X35</f>
        <v>6843890</v>
      </c>
      <c r="Y36" s="293">
        <f>Y34+Y35</f>
        <v>6843890</v>
      </c>
      <c r="Z36" s="293">
        <f>Z34+Z35</f>
        <v>6843890</v>
      </c>
      <c r="AA36" s="293">
        <f>AA34+AA35</f>
        <v>6843890</v>
      </c>
      <c r="AB36" s="293">
        <f>AB34+AB35</f>
        <v>6843890</v>
      </c>
      <c r="AC36" s="39">
        <f>AC34+AC35</f>
        <v>0</v>
      </c>
      <c r="AD36" s="703">
        <f>AD34+AD35</f>
        <v>0</v>
      </c>
    </row>
    <row r="37" spans="1:29" s="4" customFormat="1" ht="19.5" customHeight="1">
      <c r="A37" s="32"/>
      <c r="B37" s="76"/>
      <c r="C37" s="32"/>
      <c r="D37" s="32"/>
      <c r="E37" s="819" t="str">
        <f>IF(K36+R36=E36," ","HIBA-nincs egyenlőség")</f>
        <v> </v>
      </c>
      <c r="F37" s="819" t="str">
        <f>IF(L36+S36=F36," ","HIBA-nincs egyenlőség")</f>
        <v> </v>
      </c>
      <c r="G37" s="819" t="str">
        <f>IF(M36+T36=G36," ","HIBA-nincs egyenlőség")</f>
        <v> </v>
      </c>
      <c r="H37" s="819" t="str">
        <f>IF(N36+U36=H36," ","HIBA-nincs egyenlőség")</f>
        <v> </v>
      </c>
      <c r="I37" s="819"/>
      <c r="J37" s="81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2"/>
      <c r="Y37" s="82"/>
      <c r="Z37" s="82"/>
      <c r="AA37" s="82"/>
      <c r="AB37" s="82"/>
      <c r="AC37" s="82"/>
    </row>
    <row r="38" spans="1:29" s="4" customFormat="1" ht="19.5" customHeight="1">
      <c r="A38" s="32"/>
      <c r="B38" s="76"/>
      <c r="C38" s="32"/>
      <c r="D38" s="32"/>
      <c r="E38" s="5"/>
      <c r="F38" s="5"/>
      <c r="G38" s="5"/>
      <c r="H38" s="5"/>
      <c r="I38" s="5"/>
      <c r="J38" s="5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359"/>
      <c r="Y38" s="359"/>
      <c r="Z38" s="359"/>
      <c r="AA38" s="359"/>
      <c r="AB38" s="359"/>
      <c r="AC38" s="359"/>
    </row>
    <row r="39" spans="1:29" s="4" customFormat="1" ht="19.5" customHeight="1">
      <c r="A39" s="32"/>
      <c r="B39" s="76"/>
      <c r="C39" s="1152" t="s">
        <v>52</v>
      </c>
      <c r="D39" s="1152"/>
      <c r="E39" s="1152"/>
      <c r="F39" s="1152"/>
      <c r="G39" s="1152"/>
      <c r="H39" s="1152"/>
      <c r="I39" s="1152"/>
      <c r="J39" s="1152"/>
      <c r="K39" s="1152"/>
      <c r="L39" s="1152"/>
      <c r="M39" s="1152"/>
      <c r="N39" s="1152"/>
      <c r="O39" s="1152"/>
      <c r="P39" s="1152"/>
      <c r="Q39" s="1152"/>
      <c r="R39" s="1152"/>
      <c r="S39" s="248"/>
      <c r="T39" s="248"/>
      <c r="U39" s="248"/>
      <c r="V39" s="248"/>
      <c r="W39" s="248"/>
      <c r="X39" s="360"/>
      <c r="Y39" s="360"/>
      <c r="Z39" s="360"/>
      <c r="AA39" s="360"/>
      <c r="AB39" s="360"/>
      <c r="AC39" s="361"/>
    </row>
    <row r="40" spans="1:29" s="4" customFormat="1" ht="19.5" customHeight="1" thickBot="1">
      <c r="A40" s="207" t="s">
        <v>53</v>
      </c>
      <c r="B40" s="207"/>
      <c r="F40" s="188"/>
      <c r="G40" s="188"/>
      <c r="H40" s="188"/>
      <c r="I40" s="188"/>
      <c r="J40" s="188"/>
      <c r="K40" s="189"/>
      <c r="L40" s="189"/>
      <c r="M40" s="189"/>
      <c r="N40" s="189"/>
      <c r="O40" s="189"/>
      <c r="P40" s="189"/>
      <c r="Q40" s="189"/>
      <c r="R40" s="190">
        <v>0</v>
      </c>
      <c r="S40" s="190"/>
      <c r="T40" s="190"/>
      <c r="U40" s="190"/>
      <c r="V40" s="190"/>
      <c r="W40" s="190"/>
      <c r="X40" s="89"/>
      <c r="Y40" s="89"/>
      <c r="Z40" s="89"/>
      <c r="AA40" s="89"/>
      <c r="AB40" s="89"/>
      <c r="AC40" s="362"/>
    </row>
    <row r="41" spans="1:31" ht="52.5" customHeight="1" thickBot="1">
      <c r="A41" s="191">
        <v>1</v>
      </c>
      <c r="B41" s="1171" t="s">
        <v>153</v>
      </c>
      <c r="C41" s="1172"/>
      <c r="D41" s="1173"/>
      <c r="E41" s="206">
        <f>'1.sz.m-önk.össze.bev'!E57-'1 .sz.m.önk.össz.kiad.'!E29</f>
        <v>-179616859</v>
      </c>
      <c r="F41" s="206">
        <f>'1.sz.m-önk.össze.bev'!F57-'1 .sz.m.önk.össz.kiad.'!F29</f>
        <v>-179616859</v>
      </c>
      <c r="G41" s="206">
        <f>'1.sz.m-önk.össze.bev'!G57-'1 .sz.m.önk.össz.kiad.'!G29</f>
        <v>-179616859</v>
      </c>
      <c r="H41" s="206">
        <f>'1.sz.m-önk.össze.bev'!H57-'1 .sz.m.önk.össz.kiad.'!H29</f>
        <v>-179616859</v>
      </c>
      <c r="I41" s="206">
        <f>'1.sz.m-önk.össze.bev'!I57-'1 .sz.m.önk.össz.kiad.'!I29</f>
        <v>-190529505</v>
      </c>
      <c r="J41" s="206">
        <f>'1.sz.m-önk.össze.bev'!J57-'1 .sz.m.önk.össz.kiad.'!J29</f>
        <v>0</v>
      </c>
      <c r="K41" s="206">
        <f>'1.sz.m-önk.össze.bev'!K57-'1 .sz.m.önk.össz.kiad.'!K29</f>
        <v>-159716826</v>
      </c>
      <c r="L41" s="206">
        <f>'1.sz.m-önk.össze.bev'!L57-'1 .sz.m.önk.össz.kiad.'!L29</f>
        <v>-159716826</v>
      </c>
      <c r="M41" s="206">
        <f>'1.sz.m-önk.össze.bev'!M57-'1 .sz.m.önk.össz.kiad.'!M29</f>
        <v>-159716826</v>
      </c>
      <c r="N41" s="206">
        <f>'1.sz.m-önk.össze.bev'!N57-'1 .sz.m.önk.össz.kiad.'!N29</f>
        <v>-159716826</v>
      </c>
      <c r="O41" s="206">
        <f>'1.sz.m-önk.össze.bev'!O57-'1 .sz.m.önk.össz.kiad.'!O29</f>
        <v>-170629472</v>
      </c>
      <c r="P41" s="206" t="e">
        <f>'1.sz.m-önk.össze.bev'!P57-'1 .sz.m.önk.össz.kiad.'!P29</f>
        <v>#REF!</v>
      </c>
      <c r="Q41" s="206" t="e">
        <f>'1.sz.m-önk.össze.bev'!Q57-'1 .sz.m.önk.össz.kiad.'!Q29</f>
        <v>#REF!</v>
      </c>
      <c r="R41" s="206">
        <f>'1.sz.m-önk.össze.bev'!R57-'1 .sz.m.önk.össz.kiad.'!R29</f>
        <v>-19900033</v>
      </c>
      <c r="S41" s="206">
        <f>'1.sz.m-önk.össze.bev'!S57-'1 .sz.m.önk.össz.kiad.'!S29</f>
        <v>-19900033</v>
      </c>
      <c r="T41" s="206">
        <f>'1.sz.m-önk.össze.bev'!T57-'1 .sz.m.önk.össz.kiad.'!T29</f>
        <v>-19900033</v>
      </c>
      <c r="U41" s="206">
        <f>'1.sz.m-önk.össze.bev'!U57-'1 .sz.m.önk.össz.kiad.'!U29</f>
        <v>-19900033</v>
      </c>
      <c r="V41" s="206">
        <f>'1.sz.m-önk.össze.bev'!V57-'1 .sz.m.önk.össz.kiad.'!V29</f>
        <v>-19900033</v>
      </c>
      <c r="W41" s="206">
        <f>'1.sz.m-önk.össze.bev'!W57-'1 .sz.m.önk.össz.kiad.'!W29</f>
        <v>-350467</v>
      </c>
      <c r="X41" s="206">
        <f>'1.sz.m-önk.össze.bev'!X57-'1 .sz.m.önk.össz.kiad.'!X29</f>
        <v>0</v>
      </c>
      <c r="Y41" s="206">
        <f>'1.sz.m-önk.össze.bev'!Y57-'1 .sz.m.önk.össz.kiad.'!Y29</f>
        <v>0</v>
      </c>
      <c r="Z41" s="206">
        <f>'1.sz.m-önk.össze.bev'!Z57-'1 .sz.m.önk.össz.kiad.'!Z29</f>
        <v>0</v>
      </c>
      <c r="AA41" s="206">
        <f>'1.sz.m-önk.össze.bev'!AA57-'1 .sz.m.önk.össz.kiad.'!AA29</f>
        <v>0</v>
      </c>
      <c r="AB41" s="206">
        <f>'1.sz.m-önk.össze.bev'!AB57-'1 .sz.m.önk.össz.kiad.'!AB29</f>
        <v>0</v>
      </c>
      <c r="AC41" s="206">
        <f>'1.sz.m-önk.össze.bev'!AC57-'1 .sz.m.önk.össz.kiad.'!AC29</f>
        <v>5610894</v>
      </c>
      <c r="AD41" s="206">
        <f>'1.sz.m-önk.össze.bev'!AD57-'1 .sz.m.önk.össz.kiad.'!AD29</f>
        <v>5610894</v>
      </c>
      <c r="AE41" s="206">
        <f>'1.sz.m-önk.össze.bev'!AE57-'1 .sz.m.önk.össz.kiad.'!AE29</f>
        <v>0</v>
      </c>
    </row>
    <row r="42" spans="3:23" ht="15.75">
      <c r="C42" s="188"/>
      <c r="D42" s="188"/>
      <c r="E42" s="192"/>
      <c r="F42" s="192"/>
      <c r="G42" s="192"/>
      <c r="H42" s="192"/>
      <c r="I42" s="192"/>
      <c r="J42" s="192"/>
      <c r="K42" s="189"/>
      <c r="L42" s="189"/>
      <c r="M42" s="189"/>
      <c r="N42" s="189"/>
      <c r="O42" s="189"/>
      <c r="P42" s="189"/>
      <c r="Q42" s="189"/>
      <c r="R42" s="190">
        <v>0</v>
      </c>
      <c r="S42" s="190"/>
      <c r="T42" s="190"/>
      <c r="U42" s="190"/>
      <c r="V42" s="190"/>
      <c r="W42" s="190"/>
    </row>
    <row r="43" spans="3:23" ht="15.75" customHeight="1">
      <c r="C43" s="1169" t="s">
        <v>154</v>
      </c>
      <c r="D43" s="1169"/>
      <c r="E43" s="1169"/>
      <c r="F43" s="1169"/>
      <c r="G43" s="1169"/>
      <c r="H43" s="1169"/>
      <c r="I43" s="1169"/>
      <c r="J43" s="1169"/>
      <c r="K43" s="1169"/>
      <c r="L43" s="1169"/>
      <c r="M43" s="1169"/>
      <c r="N43" s="1169"/>
      <c r="O43" s="1169"/>
      <c r="P43" s="1169"/>
      <c r="Q43" s="1169"/>
      <c r="R43" s="1169"/>
      <c r="S43" s="196"/>
      <c r="T43" s="196"/>
      <c r="U43" s="196"/>
      <c r="V43" s="196"/>
      <c r="W43" s="196"/>
    </row>
    <row r="44" spans="1:23" ht="16.5" thickBot="1">
      <c r="A44" s="207" t="s">
        <v>155</v>
      </c>
      <c r="C44" s="1174"/>
      <c r="D44" s="1174"/>
      <c r="E44" s="188"/>
      <c r="F44" s="188"/>
      <c r="G44" s="188"/>
      <c r="H44" s="188"/>
      <c r="I44" s="188"/>
      <c r="J44" s="188"/>
      <c r="K44" s="189"/>
      <c r="L44" s="189"/>
      <c r="M44" s="189"/>
      <c r="N44" s="189"/>
      <c r="O44" s="189"/>
      <c r="P44" s="189"/>
      <c r="Q44" s="189"/>
      <c r="R44" s="190">
        <v>0</v>
      </c>
      <c r="S44" s="190"/>
      <c r="T44" s="190"/>
      <c r="U44" s="190"/>
      <c r="V44" s="190"/>
      <c r="W44" s="190"/>
    </row>
    <row r="45" spans="1:30" ht="27.75" customHeight="1">
      <c r="A45" s="202" t="s">
        <v>26</v>
      </c>
      <c r="B45" s="1143" t="s">
        <v>631</v>
      </c>
      <c r="C45" s="1144"/>
      <c r="D45" s="1145"/>
      <c r="E45" s="221">
        <f>'1.sz.m-önk.össze.bev'!E61-'2.sz.m.összehasonlító'!B27</f>
        <v>120716004</v>
      </c>
      <c r="F45" s="221">
        <f>'1.sz.m-önk.össze.bev'!F61-'2.sz.m.összehasonlító'!C27</f>
        <v>120716004</v>
      </c>
      <c r="G45" s="221">
        <f>'1.sz.m-önk.össze.bev'!G61-'2.sz.m.összehasonlító'!D27</f>
        <v>120716004</v>
      </c>
      <c r="H45" s="221">
        <f>'1.sz.m-önk.össze.bev'!H61-'2.sz.m.összehasonlító'!E27</f>
        <v>120716004</v>
      </c>
      <c r="I45" s="221">
        <f>'1.sz.m-önk.össze.bev'!I61-'2.sz.m.összehasonlító'!F27</f>
        <v>120716004</v>
      </c>
      <c r="J45" s="221">
        <f>'1.sz.m-önk.össze.bev'!J61-'2.sz.m.összehasonlító'!G27</f>
        <v>0</v>
      </c>
      <c r="K45" s="221">
        <f>'1.sz.m-önk.össze.bev'!K61-'2.sz.m.összehasonlító'!B27+R46</f>
        <v>108231415</v>
      </c>
      <c r="L45" s="221">
        <f>'1.sz.m-önk.össze.bev'!L61-'2.sz.m.összehasonlító'!C27+S46</f>
        <v>108231415</v>
      </c>
      <c r="M45" s="221">
        <f>'1.sz.m-önk.össze.bev'!M61-'2.sz.m.összehasonlító'!D27+T46</f>
        <v>108231415</v>
      </c>
      <c r="N45" s="221">
        <f>'1.sz.m-önk.össze.bev'!N61-'2.sz.m.összehasonlító'!E27+U46</f>
        <v>108231415</v>
      </c>
      <c r="O45" s="221">
        <f>'1.sz.m-önk.össze.bev'!O61-'2.sz.m.összehasonlító'!F27+V46</f>
        <v>108231416</v>
      </c>
      <c r="P45" s="221">
        <f>'1.sz.m-önk.össze.bev'!P61-'2.sz.m.összehasonlító'!G27</f>
        <v>0</v>
      </c>
      <c r="Q45" s="221">
        <f>'1.sz.m-önk.össze.bev'!Q61</f>
        <v>0</v>
      </c>
      <c r="R45" s="221">
        <f>'1.sz.m-önk.össze.bev'!R61-R46</f>
        <v>12484589</v>
      </c>
      <c r="S45" s="221">
        <f>'1.sz.m-önk.össze.bev'!S61-S46</f>
        <v>12484589</v>
      </c>
      <c r="T45" s="221">
        <f>'1.sz.m-önk.össze.bev'!T61-T46</f>
        <v>12484589</v>
      </c>
      <c r="U45" s="221">
        <f>'1.sz.m-önk.össze.bev'!U61-U46</f>
        <v>12484589</v>
      </c>
      <c r="V45" s="221">
        <f>'1.sz.m-önk.össze.bev'!V61-V46</f>
        <v>12484588</v>
      </c>
      <c r="W45" s="221">
        <f>'1.sz.m-önk.össze.bev'!W61-W46</f>
        <v>-7415446</v>
      </c>
      <c r="X45" s="221">
        <f>'1.sz.m-önk.össze.bev'!X61</f>
        <v>0</v>
      </c>
      <c r="Y45" s="221">
        <f>'1.sz.m-önk.össze.bev'!Y61</f>
        <v>0</v>
      </c>
      <c r="Z45" s="221">
        <f>'1.sz.m-önk.össze.bev'!Z61</f>
        <v>0</v>
      </c>
      <c r="AA45" s="221">
        <f>'1.sz.m-önk.össze.bev'!AA61</f>
        <v>0</v>
      </c>
      <c r="AB45" s="221">
        <f>'1.sz.m-önk.össze.bev'!AB61</f>
        <v>0</v>
      </c>
      <c r="AC45" s="221">
        <f>'1.sz.m-önk.össze.bev'!AC61</f>
        <v>0</v>
      </c>
      <c r="AD45" s="221">
        <f>'1.sz.m-önk.össze.bev'!AD61</f>
        <v>0</v>
      </c>
    </row>
    <row r="46" spans="1:30" ht="27.75" customHeight="1">
      <c r="A46" s="203" t="s">
        <v>27</v>
      </c>
      <c r="B46" s="1160" t="s">
        <v>632</v>
      </c>
      <c r="C46" s="1161"/>
      <c r="D46" s="1162"/>
      <c r="E46" s="222">
        <f>'2.sz.m.összehasonlító'!B27</f>
        <v>71481213</v>
      </c>
      <c r="F46" s="222">
        <f>'2.sz.m.összehasonlító'!C27</f>
        <v>71481213</v>
      </c>
      <c r="G46" s="222">
        <f>'2.sz.m.összehasonlító'!D27</f>
        <v>71481213</v>
      </c>
      <c r="H46" s="222">
        <f>'2.sz.m.összehasonlító'!E27</f>
        <v>71481213</v>
      </c>
      <c r="I46" s="222">
        <f>'2.sz.m.összehasonlító'!F27</f>
        <v>71481213</v>
      </c>
      <c r="J46" s="222">
        <f>'2.sz.m.összehasonlító'!G27</f>
        <v>0</v>
      </c>
      <c r="K46" s="222">
        <f>'2.sz.m.összehasonlító'!B27-R46</f>
        <v>64065769</v>
      </c>
      <c r="L46" s="222">
        <f>'2.sz.m.összehasonlító'!C27-S46</f>
        <v>64065769</v>
      </c>
      <c r="M46" s="222">
        <f>'2.sz.m.összehasonlító'!D27-T46</f>
        <v>64065769</v>
      </c>
      <c r="N46" s="222">
        <f>'2.sz.m.összehasonlító'!E27-U46</f>
        <v>64065769</v>
      </c>
      <c r="O46" s="222">
        <f>'2.sz.m.összehasonlító'!F27-V46</f>
        <v>64065768</v>
      </c>
      <c r="P46" s="222">
        <f>'2.sz.m.összehasonlító'!G27-W46</f>
        <v>-7415446</v>
      </c>
      <c r="Q46" s="222" t="e">
        <f>'2.sz.m.összehasonlító'!H27-X46</f>
        <v>#VALUE!</v>
      </c>
      <c r="R46" s="222">
        <v>7415444</v>
      </c>
      <c r="S46" s="222">
        <v>7415444</v>
      </c>
      <c r="T46" s="222">
        <v>7415444</v>
      </c>
      <c r="U46" s="222">
        <v>7415444</v>
      </c>
      <c r="V46" s="222">
        <v>7415445</v>
      </c>
      <c r="W46" s="222">
        <v>7415446</v>
      </c>
      <c r="X46" s="222"/>
      <c r="Y46" s="222"/>
      <c r="Z46" s="222"/>
      <c r="AA46" s="222"/>
      <c r="AB46" s="222"/>
      <c r="AC46" s="222"/>
      <c r="AD46" s="222"/>
    </row>
    <row r="47" spans="1:30" ht="27.75" customHeight="1" thickBot="1">
      <c r="A47" s="204" t="s">
        <v>9</v>
      </c>
      <c r="B47" s="1175" t="s">
        <v>633</v>
      </c>
      <c r="C47" s="1176"/>
      <c r="D47" s="1177"/>
      <c r="E47" s="220">
        <f aca="true" t="shared" si="14" ref="E47:K47">E45+E46</f>
        <v>192197217</v>
      </c>
      <c r="F47" s="220">
        <f t="shared" si="14"/>
        <v>192197217</v>
      </c>
      <c r="G47" s="220">
        <f>G45+G46</f>
        <v>192197217</v>
      </c>
      <c r="H47" s="220">
        <f>H45+H46</f>
        <v>192197217</v>
      </c>
      <c r="I47" s="220">
        <f>I45+I46</f>
        <v>192197217</v>
      </c>
      <c r="J47" s="220">
        <f>J45+J46</f>
        <v>0</v>
      </c>
      <c r="K47" s="220">
        <f t="shared" si="14"/>
        <v>172297184</v>
      </c>
      <c r="L47" s="220">
        <f>L45+L46</f>
        <v>172297184</v>
      </c>
      <c r="M47" s="220">
        <f>M45+M46</f>
        <v>172297184</v>
      </c>
      <c r="N47" s="220">
        <f>N45+N46</f>
        <v>172297184</v>
      </c>
      <c r="O47" s="220">
        <f>O45+O46</f>
        <v>172297184</v>
      </c>
      <c r="P47" s="220">
        <f>P45+P46</f>
        <v>-7415446</v>
      </c>
      <c r="Q47" s="220" t="e">
        <f aca="true" t="shared" si="15" ref="Q47:AC47">Q45+Q46</f>
        <v>#VALUE!</v>
      </c>
      <c r="R47" s="220">
        <f t="shared" si="15"/>
        <v>19900033</v>
      </c>
      <c r="S47" s="220">
        <f>S45+S46</f>
        <v>19900033</v>
      </c>
      <c r="T47" s="220">
        <f>T45+T46</f>
        <v>19900033</v>
      </c>
      <c r="U47" s="220">
        <f>U45+U46</f>
        <v>19900033</v>
      </c>
      <c r="V47" s="220">
        <f>V45+V46</f>
        <v>19900033</v>
      </c>
      <c r="W47" s="220">
        <f>W45+W46</f>
        <v>0</v>
      </c>
      <c r="X47" s="220">
        <f t="shared" si="15"/>
        <v>0</v>
      </c>
      <c r="Y47" s="220">
        <f t="shared" si="15"/>
        <v>0</v>
      </c>
      <c r="Z47" s="220">
        <f t="shared" si="15"/>
        <v>0</v>
      </c>
      <c r="AA47" s="220">
        <f t="shared" si="15"/>
        <v>0</v>
      </c>
      <c r="AB47" s="220">
        <f t="shared" si="15"/>
        <v>0</v>
      </c>
      <c r="AC47" s="220">
        <f t="shared" si="15"/>
        <v>0</v>
      </c>
      <c r="AD47" s="220">
        <f>AD45+AD46</f>
        <v>0</v>
      </c>
    </row>
    <row r="48" spans="3:24" ht="15.75">
      <c r="C48" s="193"/>
      <c r="D48" s="194"/>
      <c r="E48" s="195"/>
      <c r="F48" s="195"/>
      <c r="G48" s="195"/>
      <c r="H48" s="195"/>
      <c r="I48" s="195"/>
      <c r="J48" s="195"/>
      <c r="K48" s="189"/>
      <c r="L48" s="189"/>
      <c r="M48" s="189"/>
      <c r="N48" s="189"/>
      <c r="O48" s="189"/>
      <c r="P48" s="189"/>
      <c r="Q48" s="189"/>
      <c r="R48" s="190"/>
      <c r="S48" s="190"/>
      <c r="T48" s="190"/>
      <c r="U48" s="190"/>
      <c r="V48" s="190"/>
      <c r="W48" s="190"/>
      <c r="X48" s="1"/>
    </row>
    <row r="49" spans="3:23" ht="15.75" customHeight="1">
      <c r="C49" s="1169" t="s">
        <v>156</v>
      </c>
      <c r="D49" s="1169"/>
      <c r="E49" s="1169"/>
      <c r="F49" s="1169"/>
      <c r="G49" s="1169"/>
      <c r="H49" s="1169"/>
      <c r="I49" s="1169"/>
      <c r="J49" s="1169"/>
      <c r="K49" s="1169"/>
      <c r="L49" s="1169"/>
      <c r="M49" s="1169"/>
      <c r="N49" s="1169"/>
      <c r="O49" s="1169"/>
      <c r="P49" s="1169"/>
      <c r="Q49" s="1169"/>
      <c r="R49" s="1169"/>
      <c r="S49" s="196"/>
      <c r="T49" s="196"/>
      <c r="U49" s="196"/>
      <c r="V49" s="196"/>
      <c r="W49" s="196"/>
    </row>
    <row r="50" spans="1:23" ht="16.5" thickBot="1">
      <c r="A50" s="207" t="s">
        <v>157</v>
      </c>
      <c r="B50" s="207"/>
      <c r="C50" s="1151"/>
      <c r="D50" s="1151"/>
      <c r="E50" s="188"/>
      <c r="F50" s="188"/>
      <c r="G50" s="188"/>
      <c r="H50" s="188"/>
      <c r="I50" s="188"/>
      <c r="J50" s="188"/>
      <c r="K50" s="189"/>
      <c r="L50" s="189"/>
      <c r="M50" s="189"/>
      <c r="N50" s="189"/>
      <c r="O50" s="189"/>
      <c r="P50" s="189"/>
      <c r="Q50" s="189"/>
      <c r="R50" s="190">
        <v>0</v>
      </c>
      <c r="S50" s="190"/>
      <c r="T50" s="190"/>
      <c r="U50" s="190"/>
      <c r="V50" s="190"/>
      <c r="W50" s="190"/>
    </row>
    <row r="51" spans="1:31" ht="27.75" customHeight="1">
      <c r="A51" s="202" t="s">
        <v>26</v>
      </c>
      <c r="B51" s="1143" t="s">
        <v>634</v>
      </c>
      <c r="C51" s="1144"/>
      <c r="D51" s="1145"/>
      <c r="E51" s="208">
        <v>0</v>
      </c>
      <c r="F51" s="208">
        <v>0</v>
      </c>
      <c r="G51" s="208">
        <v>0</v>
      </c>
      <c r="H51" s="208">
        <v>0</v>
      </c>
      <c r="I51" s="208">
        <v>0</v>
      </c>
      <c r="J51" s="208">
        <v>0</v>
      </c>
      <c r="K51" s="208">
        <v>0</v>
      </c>
      <c r="L51" s="208">
        <v>0</v>
      </c>
      <c r="M51" s="208">
        <v>0</v>
      </c>
      <c r="N51" s="208">
        <v>0</v>
      </c>
      <c r="O51" s="208">
        <v>0</v>
      </c>
      <c r="P51" s="208">
        <v>0</v>
      </c>
      <c r="Q51" s="208">
        <v>0</v>
      </c>
      <c r="R51" s="208">
        <v>0</v>
      </c>
      <c r="S51" s="208">
        <v>0</v>
      </c>
      <c r="T51" s="208">
        <v>0</v>
      </c>
      <c r="U51" s="208">
        <v>0</v>
      </c>
      <c r="V51" s="208">
        <v>0</v>
      </c>
      <c r="W51" s="208">
        <v>0</v>
      </c>
      <c r="X51" s="208">
        <v>0</v>
      </c>
      <c r="Y51" s="208">
        <v>0</v>
      </c>
      <c r="Z51" s="208">
        <v>0</v>
      </c>
      <c r="AA51" s="208">
        <v>0</v>
      </c>
      <c r="AB51" s="208">
        <v>0</v>
      </c>
      <c r="AC51" s="208">
        <v>0</v>
      </c>
      <c r="AD51" s="208">
        <v>0</v>
      </c>
      <c r="AE51" s="208">
        <v>0</v>
      </c>
    </row>
    <row r="52" spans="1:31" ht="27.75" customHeight="1">
      <c r="A52" s="203" t="s">
        <v>27</v>
      </c>
      <c r="B52" s="1160" t="s">
        <v>635</v>
      </c>
      <c r="C52" s="1161"/>
      <c r="D52" s="1162"/>
      <c r="E52" s="209">
        <f>'1.sz.m-önk.össze.bev'!E59</f>
        <v>0</v>
      </c>
      <c r="F52" s="209">
        <f>'1.sz.m-önk.össze.bev'!F59</f>
        <v>0</v>
      </c>
      <c r="G52" s="209">
        <f>'1.sz.m-önk.össze.bev'!G59</f>
        <v>0</v>
      </c>
      <c r="H52" s="209"/>
      <c r="I52" s="209"/>
      <c r="J52" s="209"/>
      <c r="K52" s="209">
        <f>'1.sz.m-önk.össze.bev'!K59</f>
        <v>0</v>
      </c>
      <c r="L52" s="209">
        <f>'1.sz.m-önk.össze.bev'!L59</f>
        <v>0</v>
      </c>
      <c r="M52" s="209">
        <f>'1.sz.m-önk.össze.bev'!M59</f>
        <v>0</v>
      </c>
      <c r="N52" s="209"/>
      <c r="O52" s="209">
        <v>0</v>
      </c>
      <c r="P52" s="209"/>
      <c r="Q52" s="209" t="e">
        <f>'1.sz.m-önk.össze.bev'!Q59</f>
        <v>#DIV/0!</v>
      </c>
      <c r="R52" s="209">
        <f>'1.sz.m-önk.össze.bev'!R59</f>
        <v>0</v>
      </c>
      <c r="S52" s="209">
        <f>'1.sz.m-önk.össze.bev'!S59</f>
        <v>0</v>
      </c>
      <c r="T52" s="209">
        <f>'1.sz.m-önk.össze.bev'!T59</f>
        <v>0</v>
      </c>
      <c r="U52" s="209">
        <f>'1.sz.m-önk.össze.bev'!U59</f>
        <v>0</v>
      </c>
      <c r="V52" s="209">
        <f>'1.sz.m-önk.össze.bev'!V59</f>
        <v>0</v>
      </c>
      <c r="W52" s="209">
        <f>'1.sz.m-önk.össze.bev'!W59</f>
        <v>0</v>
      </c>
      <c r="X52" s="209">
        <f>'1.sz.m-önk.össze.bev'!X59</f>
        <v>0</v>
      </c>
      <c r="Y52" s="209">
        <f>'1.sz.m-önk.össze.bev'!Y59</f>
        <v>0</v>
      </c>
      <c r="Z52" s="209">
        <f>'1.sz.m-önk.össze.bev'!Z59</f>
        <v>0</v>
      </c>
      <c r="AA52" s="209">
        <f>'1.sz.m-önk.össze.bev'!AA59</f>
        <v>0</v>
      </c>
      <c r="AB52" s="209">
        <f>'1.sz.m-önk.össze.bev'!AB59</f>
        <v>0</v>
      </c>
      <c r="AC52" s="209">
        <f>'1.sz.m-önk.össze.bev'!AC59</f>
        <v>0</v>
      </c>
      <c r="AD52" s="209">
        <f>'1.sz.m-önk.össze.bev'!AD59</f>
        <v>0</v>
      </c>
      <c r="AE52" s="209">
        <f>'1.sz.m-önk.össze.bev'!AE59</f>
        <v>0</v>
      </c>
    </row>
    <row r="53" spans="1:31" ht="27.75" customHeight="1" thickBot="1">
      <c r="A53" s="204" t="s">
        <v>9</v>
      </c>
      <c r="B53" s="1163" t="s">
        <v>636</v>
      </c>
      <c r="C53" s="1164"/>
      <c r="D53" s="1165"/>
      <c r="E53" s="210">
        <f aca="true" t="shared" si="16" ref="E53:J53">E51+E52</f>
        <v>0</v>
      </c>
      <c r="F53" s="210">
        <f t="shared" si="16"/>
        <v>0</v>
      </c>
      <c r="G53" s="210">
        <f t="shared" si="16"/>
        <v>0</v>
      </c>
      <c r="H53" s="210">
        <f t="shared" si="16"/>
        <v>0</v>
      </c>
      <c r="I53" s="210">
        <f>I51+I52</f>
        <v>0</v>
      </c>
      <c r="J53" s="210">
        <f t="shared" si="16"/>
        <v>0</v>
      </c>
      <c r="K53" s="210">
        <f aca="true" t="shared" si="17" ref="K53:AE53">K51+K52</f>
        <v>0</v>
      </c>
      <c r="L53" s="210">
        <f t="shared" si="17"/>
        <v>0</v>
      </c>
      <c r="M53" s="210">
        <f t="shared" si="17"/>
        <v>0</v>
      </c>
      <c r="N53" s="210">
        <f t="shared" si="17"/>
        <v>0</v>
      </c>
      <c r="O53" s="210">
        <f t="shared" si="17"/>
        <v>0</v>
      </c>
      <c r="P53" s="210">
        <f>P51+P52</f>
        <v>0</v>
      </c>
      <c r="Q53" s="210" t="e">
        <f t="shared" si="17"/>
        <v>#DIV/0!</v>
      </c>
      <c r="R53" s="210">
        <f t="shared" si="17"/>
        <v>0</v>
      </c>
      <c r="S53" s="210">
        <f t="shared" si="17"/>
        <v>0</v>
      </c>
      <c r="T53" s="210">
        <f t="shared" si="17"/>
        <v>0</v>
      </c>
      <c r="U53" s="210">
        <f t="shared" si="17"/>
        <v>0</v>
      </c>
      <c r="V53" s="210">
        <f t="shared" si="17"/>
        <v>0</v>
      </c>
      <c r="W53" s="210">
        <f t="shared" si="17"/>
        <v>0</v>
      </c>
      <c r="X53" s="210">
        <f t="shared" si="17"/>
        <v>0</v>
      </c>
      <c r="Y53" s="210">
        <f t="shared" si="17"/>
        <v>0</v>
      </c>
      <c r="Z53" s="210">
        <f t="shared" si="17"/>
        <v>0</v>
      </c>
      <c r="AA53" s="210">
        <f t="shared" si="17"/>
        <v>0</v>
      </c>
      <c r="AB53" s="210">
        <f t="shared" si="17"/>
        <v>0</v>
      </c>
      <c r="AC53" s="210">
        <f t="shared" si="17"/>
        <v>0</v>
      </c>
      <c r="AD53" s="210">
        <f t="shared" si="17"/>
        <v>0</v>
      </c>
      <c r="AE53" s="210">
        <f t="shared" si="17"/>
        <v>0</v>
      </c>
    </row>
    <row r="54" spans="3:28" ht="15.75">
      <c r="C54" s="193"/>
      <c r="D54" s="194"/>
      <c r="E54" s="195"/>
      <c r="F54" s="195"/>
      <c r="G54" s="195"/>
      <c r="H54" s="195"/>
      <c r="I54" s="195"/>
      <c r="J54" s="195"/>
      <c r="K54" s="189"/>
      <c r="L54" s="189"/>
      <c r="M54" s="189"/>
      <c r="N54" s="189"/>
      <c r="O54" s="189"/>
      <c r="P54" s="189"/>
      <c r="Q54" s="189"/>
      <c r="R54" s="190"/>
      <c r="S54" s="190"/>
      <c r="T54" s="190"/>
      <c r="U54" s="190"/>
      <c r="V54" s="190"/>
      <c r="W54" s="190"/>
      <c r="AB54" s="41"/>
    </row>
    <row r="55" spans="3:23" ht="15.75" customHeight="1">
      <c r="C55" s="1169" t="s">
        <v>54</v>
      </c>
      <c r="D55" s="1169"/>
      <c r="E55" s="1169"/>
      <c r="F55" s="1169"/>
      <c r="G55" s="1169"/>
      <c r="H55" s="1169"/>
      <c r="I55" s="1169"/>
      <c r="J55" s="1169"/>
      <c r="K55" s="1169"/>
      <c r="L55" s="1169"/>
      <c r="M55" s="1169"/>
      <c r="N55" s="1169"/>
      <c r="O55" s="1169"/>
      <c r="P55" s="1169"/>
      <c r="Q55" s="1169"/>
      <c r="R55" s="1169"/>
      <c r="S55" s="196"/>
      <c r="T55" s="196"/>
      <c r="U55" s="196"/>
      <c r="V55" s="196"/>
      <c r="W55" s="196"/>
    </row>
    <row r="56" spans="3:23" ht="15.75">
      <c r="C56" s="196"/>
      <c r="D56" s="196"/>
      <c r="E56" s="196"/>
      <c r="F56" s="196"/>
      <c r="G56" s="196"/>
      <c r="H56" s="196"/>
      <c r="I56" s="196"/>
      <c r="J56" s="196"/>
      <c r="K56" s="189"/>
      <c r="L56" s="189"/>
      <c r="M56" s="189"/>
      <c r="N56" s="189"/>
      <c r="O56" s="189"/>
      <c r="P56" s="189"/>
      <c r="Q56" s="189"/>
      <c r="R56" s="197"/>
      <c r="S56" s="197"/>
      <c r="T56" s="197"/>
      <c r="U56" s="197"/>
      <c r="V56" s="197"/>
      <c r="W56" s="197"/>
    </row>
    <row r="57" spans="1:23" ht="16.5" thickBot="1">
      <c r="A57" s="207" t="s">
        <v>194</v>
      </c>
      <c r="C57" s="1170"/>
      <c r="D57" s="1170"/>
      <c r="E57" s="196"/>
      <c r="F57" s="196"/>
      <c r="G57" s="196"/>
      <c r="H57" s="196"/>
      <c r="I57" s="196"/>
      <c r="J57" s="196"/>
      <c r="K57" s="189"/>
      <c r="L57" s="189"/>
      <c r="M57" s="189"/>
      <c r="N57" s="189"/>
      <c r="O57" s="189"/>
      <c r="P57" s="189"/>
      <c r="Q57" s="189"/>
      <c r="R57" s="197"/>
      <c r="S57" s="197"/>
      <c r="T57" s="197"/>
      <c r="U57" s="197"/>
      <c r="V57" s="197"/>
      <c r="W57" s="197"/>
    </row>
    <row r="58" spans="1:30" ht="27" customHeight="1">
      <c r="A58" s="214" t="s">
        <v>26</v>
      </c>
      <c r="B58" s="1166" t="s">
        <v>158</v>
      </c>
      <c r="C58" s="1166"/>
      <c r="D58" s="1166"/>
      <c r="E58" s="215">
        <f>E59-E62</f>
        <v>179616859</v>
      </c>
      <c r="F58" s="215">
        <f>F59-F62</f>
        <v>179616859</v>
      </c>
      <c r="G58" s="215">
        <f>G59-G62</f>
        <v>179616859</v>
      </c>
      <c r="H58" s="215">
        <f>H59-H62</f>
        <v>179616859</v>
      </c>
      <c r="I58" s="215">
        <f>I59-I62</f>
        <v>190529505</v>
      </c>
      <c r="J58" s="215">
        <f aca="true" t="shared" si="18" ref="J58:AC58">J59-J62</f>
        <v>0</v>
      </c>
      <c r="K58" s="215">
        <f t="shared" si="18"/>
        <v>159716826</v>
      </c>
      <c r="L58" s="215">
        <f t="shared" si="18"/>
        <v>159716826</v>
      </c>
      <c r="M58" s="215">
        <f>M59-M62</f>
        <v>159716826</v>
      </c>
      <c r="N58" s="215">
        <f>N59-N62</f>
        <v>159716826</v>
      </c>
      <c r="O58" s="215">
        <f>O59-O62</f>
        <v>170629472</v>
      </c>
      <c r="P58" s="215">
        <f>P59-P62</f>
        <v>0</v>
      </c>
      <c r="Q58" s="215">
        <f t="shared" si="18"/>
        <v>0</v>
      </c>
      <c r="R58" s="215">
        <f t="shared" si="18"/>
        <v>19900033</v>
      </c>
      <c r="S58" s="215">
        <f>S59-S62</f>
        <v>19900033</v>
      </c>
      <c r="T58" s="215">
        <f>T59-T62</f>
        <v>19900033</v>
      </c>
      <c r="U58" s="215">
        <f>U59-U62</f>
        <v>19900033</v>
      </c>
      <c r="V58" s="215">
        <f t="shared" si="18"/>
        <v>19900033</v>
      </c>
      <c r="W58" s="215">
        <f t="shared" si="18"/>
        <v>0</v>
      </c>
      <c r="X58" s="215">
        <f t="shared" si="18"/>
        <v>0</v>
      </c>
      <c r="Y58" s="215">
        <f t="shared" si="18"/>
        <v>0</v>
      </c>
      <c r="Z58" s="215">
        <f t="shared" si="18"/>
        <v>0</v>
      </c>
      <c r="AA58" s="215">
        <f t="shared" si="18"/>
        <v>0</v>
      </c>
      <c r="AB58" s="215">
        <f t="shared" si="18"/>
        <v>0</v>
      </c>
      <c r="AC58" s="215">
        <f t="shared" si="18"/>
        <v>0</v>
      </c>
      <c r="AD58" s="215">
        <f>AD59-AD62</f>
        <v>0</v>
      </c>
    </row>
    <row r="59" spans="1:30" ht="27" customHeight="1">
      <c r="A59" s="211" t="s">
        <v>159</v>
      </c>
      <c r="B59" s="1167" t="s">
        <v>455</v>
      </c>
      <c r="C59" s="1167"/>
      <c r="D59" s="1167"/>
      <c r="E59" s="216">
        <f>'1.sz.m-önk.össze.bev'!E58</f>
        <v>192197217</v>
      </c>
      <c r="F59" s="216">
        <f>'1.sz.m-önk.össze.bev'!F58</f>
        <v>192197217</v>
      </c>
      <c r="G59" s="216">
        <f>'1.sz.m-önk.össze.bev'!G58</f>
        <v>192197217</v>
      </c>
      <c r="H59" s="216">
        <f>'1.sz.m-önk.össze.bev'!H58</f>
        <v>192197217</v>
      </c>
      <c r="I59" s="216">
        <f>'1.sz.m-önk.össze.bev'!I58</f>
        <v>203109863</v>
      </c>
      <c r="J59" s="216">
        <f>'1.sz.m-önk.össze.bev'!J58</f>
        <v>0</v>
      </c>
      <c r="K59" s="216">
        <f>'1.sz.m-önk.össze.bev'!K58</f>
        <v>172297184</v>
      </c>
      <c r="L59" s="216">
        <f>'1.sz.m-önk.össze.bev'!L58</f>
        <v>172297184</v>
      </c>
      <c r="M59" s="216">
        <f>'1.sz.m-önk.össze.bev'!M58</f>
        <v>172297184</v>
      </c>
      <c r="N59" s="216">
        <f>'1.sz.m-önk.össze.bev'!N58</f>
        <v>172297184</v>
      </c>
      <c r="O59" s="216">
        <f>'1.sz.m-önk.össze.bev'!O58</f>
        <v>183209830</v>
      </c>
      <c r="P59" s="216">
        <f>'1.sz.m-önk.össze.bev'!P58</f>
        <v>0</v>
      </c>
      <c r="Q59" s="216">
        <f>'1.sz.m-önk.össze.bev'!Q58</f>
        <v>0</v>
      </c>
      <c r="R59" s="216">
        <f>'1.sz.m-önk.össze.bev'!R58</f>
        <v>19900033</v>
      </c>
      <c r="S59" s="216">
        <f>'1.sz.m-önk.össze.bev'!S58</f>
        <v>19900033</v>
      </c>
      <c r="T59" s="216">
        <f>'1.sz.m-önk.össze.bev'!T58</f>
        <v>19900033</v>
      </c>
      <c r="U59" s="216">
        <f>'1.sz.m-önk.össze.bev'!U58</f>
        <v>19900033</v>
      </c>
      <c r="V59" s="216">
        <f>'1.sz.m-önk.össze.bev'!V58</f>
        <v>19900033</v>
      </c>
      <c r="W59" s="216">
        <f>'1.sz.m-önk.össze.bev'!W58</f>
        <v>0</v>
      </c>
      <c r="X59" s="216">
        <f>'1.sz.m-önk.össze.bev'!X58</f>
        <v>0</v>
      </c>
      <c r="Y59" s="216">
        <f>'1.sz.m-önk.össze.bev'!Y58</f>
        <v>0</v>
      </c>
      <c r="Z59" s="216">
        <f>'1.sz.m-önk.össze.bev'!Z58</f>
        <v>0</v>
      </c>
      <c r="AA59" s="216">
        <f>'1.sz.m-önk.össze.bev'!AA58</f>
        <v>0</v>
      </c>
      <c r="AB59" s="216">
        <f>'1.sz.m-önk.össze.bev'!AB58</f>
        <v>0</v>
      </c>
      <c r="AC59" s="216">
        <f>'1.sz.m-önk.össze.bev'!AC58</f>
        <v>0</v>
      </c>
      <c r="AD59" s="216">
        <f>'1.sz.m-önk.össze.bev'!AD58</f>
        <v>0</v>
      </c>
    </row>
    <row r="60" spans="1:30" ht="27" customHeight="1">
      <c r="A60" s="211" t="s">
        <v>160</v>
      </c>
      <c r="B60" s="1168" t="s">
        <v>199</v>
      </c>
      <c r="C60" s="1168"/>
      <c r="D60" s="1168"/>
      <c r="E60" s="216">
        <f>'1.sz.m-önk.össze.bev'!E61-'2.sz.m.összehasonlító'!B27+'1.sz.m-önk.össze.bev'!E60</f>
        <v>120716004</v>
      </c>
      <c r="F60" s="216">
        <f>'1.sz.m-önk.össze.bev'!F61-'2.sz.m.összehasonlító'!C27+'1.sz.m-önk.össze.bev'!F60</f>
        <v>120716004</v>
      </c>
      <c r="G60" s="216">
        <f>'1.sz.m-önk.össze.bev'!G61-'2.sz.m.összehasonlító'!D27+'1.sz.m-önk.össze.bev'!G60</f>
        <v>120716004</v>
      </c>
      <c r="H60" s="216">
        <f>+'2.sz.m.összehasonlító'!E18</f>
        <v>120716004</v>
      </c>
      <c r="I60" s="216">
        <f>+'2.sz.m.összehasonlító'!F18</f>
        <v>120716004</v>
      </c>
      <c r="J60" s="216">
        <f>'1.sz.m-önk.össze.bev'!J61-'2.sz.m.összehasonlító'!G27</f>
        <v>0</v>
      </c>
      <c r="K60" s="216">
        <f>+K45</f>
        <v>108231415</v>
      </c>
      <c r="L60" s="216">
        <f>'1.sz.m-önk.össze.bev'!F61-'2.sz.m.összehasonlító'!C27+'1.sz.m-önk.össze.bev'!F60</f>
        <v>120716004</v>
      </c>
      <c r="M60" s="216">
        <f>'1.sz.m-önk.össze.bev'!G61-'2.sz.m.összehasonlító'!D27+'1.sz.m-önk.össze.bev'!G60</f>
        <v>120716004</v>
      </c>
      <c r="N60" s="216">
        <f>+'2.sz.m.összehasonlító'!E18</f>
        <v>120716004</v>
      </c>
      <c r="O60" s="216">
        <f>'1.sz.m-önk.össze.bev'!I61-'2.sz.m.összehasonlító'!F27+'1.sz.m-önk.össze.bev'!I60</f>
        <v>120716004</v>
      </c>
      <c r="P60" s="216">
        <f>'1.sz.m-önk.össze.bev'!P61</f>
        <v>0</v>
      </c>
      <c r="Q60" s="216">
        <f>'1.sz.m-önk.össze.bev'!Q61</f>
        <v>0</v>
      </c>
      <c r="R60" s="216">
        <f aca="true" t="shared" si="19" ref="R60:T61">+R45</f>
        <v>12484589</v>
      </c>
      <c r="S60" s="216">
        <f t="shared" si="19"/>
        <v>12484589</v>
      </c>
      <c r="T60" s="216">
        <f t="shared" si="19"/>
        <v>12484589</v>
      </c>
      <c r="U60" s="216">
        <f>+U45</f>
        <v>12484589</v>
      </c>
      <c r="V60" s="216">
        <f>'1.sz.m-önk.össze.bev'!V61</f>
        <v>19900033</v>
      </c>
      <c r="W60" s="216">
        <f>'1.sz.m-önk.össze.bev'!W61</f>
        <v>0</v>
      </c>
      <c r="X60" s="216">
        <f>'1.sz.m-önk.össze.bev'!X61</f>
        <v>0</v>
      </c>
      <c r="Y60" s="216">
        <f>'1.sz.m-önk.össze.bev'!Y61</f>
        <v>0</v>
      </c>
      <c r="Z60" s="216">
        <f>'1.sz.m-önk.össze.bev'!Z61</f>
        <v>0</v>
      </c>
      <c r="AA60" s="216">
        <f>'1.sz.m-önk.össze.bev'!AA61</f>
        <v>0</v>
      </c>
      <c r="AB60" s="216">
        <f>'1.sz.m-önk.össze.bev'!AB61</f>
        <v>0</v>
      </c>
      <c r="AC60" s="216">
        <f>'1.sz.m-önk.össze.bev'!AC61</f>
        <v>0</v>
      </c>
      <c r="AD60" s="216">
        <f>'1.sz.m-önk.össze.bev'!AD61</f>
        <v>0</v>
      </c>
    </row>
    <row r="61" spans="1:30" ht="27" customHeight="1">
      <c r="A61" s="212" t="s">
        <v>161</v>
      </c>
      <c r="B61" s="1168" t="s">
        <v>200</v>
      </c>
      <c r="C61" s="1168"/>
      <c r="D61" s="1168"/>
      <c r="E61" s="216">
        <f>'1.sz.m-önk.össze.bev'!E59+'2.sz.m.összehasonlító'!B27</f>
        <v>71481213</v>
      </c>
      <c r="F61" s="216">
        <f>'1.sz.m-önk.össze.bev'!F59+'2.sz.m.összehasonlító'!C27</f>
        <v>71481213</v>
      </c>
      <c r="G61" s="216">
        <f>'1.sz.m-önk.össze.bev'!G59+'2.sz.m.összehasonlító'!D27</f>
        <v>71481213</v>
      </c>
      <c r="H61" s="216">
        <f>'2.sz.m.összehasonlító'!E27+'2.sz.m.összehasonlító'!E28</f>
        <v>71481213</v>
      </c>
      <c r="I61" s="216">
        <f>'2.sz.m.összehasonlító'!F27+'2.sz.m.összehasonlító'!F28</f>
        <v>82393859</v>
      </c>
      <c r="J61" s="216">
        <f>'1.sz.m-önk.össze.bev'!J59+'2.sz.m.összehasonlító'!G27</f>
        <v>0</v>
      </c>
      <c r="K61" s="216">
        <f>+K46</f>
        <v>64065769</v>
      </c>
      <c r="L61" s="216">
        <f>'1.sz.m-önk.össze.bev'!L59+'2.sz.m.összehasonlító'!C27</f>
        <v>71481213</v>
      </c>
      <c r="M61" s="216">
        <f>'1.sz.m-önk.össze.bev'!M59+'2.sz.m.összehasonlító'!D27</f>
        <v>71481213</v>
      </c>
      <c r="N61" s="216">
        <f>'2.sz.m.összehasonlító'!E27+'2.sz.m.összehasonlító'!E28</f>
        <v>71481213</v>
      </c>
      <c r="O61" s="216">
        <f>'1.sz.m-önk.össze.bev'!O59+'2.sz.m.összehasonlító'!F27</f>
        <v>82393859</v>
      </c>
      <c r="P61" s="216">
        <f>'1.sz.m-önk.össze.bev'!P59</f>
        <v>0</v>
      </c>
      <c r="Q61" s="216" t="e">
        <f>'1.sz.m-önk.össze.bev'!Q59</f>
        <v>#DIV/0!</v>
      </c>
      <c r="R61" s="216">
        <f>+R46</f>
        <v>7415444</v>
      </c>
      <c r="S61" s="216">
        <f t="shared" si="19"/>
        <v>7415444</v>
      </c>
      <c r="T61" s="216">
        <f t="shared" si="19"/>
        <v>7415444</v>
      </c>
      <c r="U61" s="216">
        <f>+U46</f>
        <v>7415444</v>
      </c>
      <c r="V61" s="216">
        <f>'1.sz.m-önk.össze.bev'!V59</f>
        <v>0</v>
      </c>
      <c r="W61" s="216">
        <f>'1.sz.m-önk.össze.bev'!W59</f>
        <v>0</v>
      </c>
      <c r="X61" s="216">
        <f>'1.sz.m-önk.össze.bev'!X59</f>
        <v>0</v>
      </c>
      <c r="Y61" s="216">
        <f>'1.sz.m-önk.össze.bev'!Y59</f>
        <v>0</v>
      </c>
      <c r="Z61" s="216">
        <f>'1.sz.m-önk.össze.bev'!Z59</f>
        <v>0</v>
      </c>
      <c r="AA61" s="216">
        <f>'1.sz.m-önk.össze.bev'!AA59</f>
        <v>0</v>
      </c>
      <c r="AB61" s="216">
        <f>'1.sz.m-önk.össze.bev'!AB59</f>
        <v>0</v>
      </c>
      <c r="AC61" s="216">
        <f>'1.sz.m-önk.össze.bev'!AC59</f>
        <v>0</v>
      </c>
      <c r="AD61" s="216">
        <f>'1.sz.m-önk.össze.bev'!AD59</f>
        <v>0</v>
      </c>
    </row>
    <row r="62" spans="1:30" ht="27" customHeight="1">
      <c r="A62" s="213" t="s">
        <v>162</v>
      </c>
      <c r="B62" s="1167" t="s">
        <v>456</v>
      </c>
      <c r="C62" s="1167"/>
      <c r="D62" s="1167"/>
      <c r="E62" s="217">
        <f>E30</f>
        <v>12580358</v>
      </c>
      <c r="F62" s="217">
        <f>F30</f>
        <v>12580358</v>
      </c>
      <c r="G62" s="217">
        <f>G30</f>
        <v>12580358</v>
      </c>
      <c r="H62" s="217">
        <f>H30</f>
        <v>12580358</v>
      </c>
      <c r="I62" s="217">
        <f>I30</f>
        <v>12580358</v>
      </c>
      <c r="J62" s="217">
        <f aca="true" t="shared" si="20" ref="J62:AC62">J30</f>
        <v>0</v>
      </c>
      <c r="K62" s="217">
        <f t="shared" si="20"/>
        <v>12580358</v>
      </c>
      <c r="L62" s="217">
        <f t="shared" si="20"/>
        <v>12580358</v>
      </c>
      <c r="M62" s="217">
        <f>M30</f>
        <v>12580358</v>
      </c>
      <c r="N62" s="217">
        <f>N30</f>
        <v>12580358</v>
      </c>
      <c r="O62" s="217">
        <f>O30</f>
        <v>12580358</v>
      </c>
      <c r="P62" s="217">
        <f>P30</f>
        <v>0</v>
      </c>
      <c r="Q62" s="217">
        <f t="shared" si="20"/>
        <v>0</v>
      </c>
      <c r="R62" s="217">
        <f t="shared" si="20"/>
        <v>0</v>
      </c>
      <c r="S62" s="217">
        <f>S30</f>
        <v>0</v>
      </c>
      <c r="T62" s="217">
        <f>T30</f>
        <v>0</v>
      </c>
      <c r="U62" s="217">
        <f>U30</f>
        <v>0</v>
      </c>
      <c r="V62" s="217">
        <f t="shared" si="20"/>
        <v>0</v>
      </c>
      <c r="W62" s="217">
        <f t="shared" si="20"/>
        <v>0</v>
      </c>
      <c r="X62" s="217">
        <f t="shared" si="20"/>
        <v>0</v>
      </c>
      <c r="Y62" s="217">
        <f t="shared" si="20"/>
        <v>0</v>
      </c>
      <c r="Z62" s="217">
        <f t="shared" si="20"/>
        <v>0</v>
      </c>
      <c r="AA62" s="217">
        <f t="shared" si="20"/>
        <v>0</v>
      </c>
      <c r="AB62" s="217">
        <f t="shared" si="20"/>
        <v>0</v>
      </c>
      <c r="AC62" s="217">
        <f t="shared" si="20"/>
        <v>0</v>
      </c>
      <c r="AD62" s="217">
        <f>AD30</f>
        <v>0</v>
      </c>
    </row>
    <row r="63" spans="1:30" ht="27" customHeight="1">
      <c r="A63" s="211" t="s">
        <v>163</v>
      </c>
      <c r="B63" s="1168" t="s">
        <v>201</v>
      </c>
      <c r="C63" s="1168"/>
      <c r="D63" s="1168"/>
      <c r="E63" s="216">
        <f>E33+E32</f>
        <v>10312557</v>
      </c>
      <c r="F63" s="216">
        <f aca="true" t="shared" si="21" ref="F63:K63">F33+F32</f>
        <v>10312557</v>
      </c>
      <c r="G63" s="216">
        <f>G33+G32</f>
        <v>10312557</v>
      </c>
      <c r="H63" s="216">
        <f>H33+H32</f>
        <v>10312557</v>
      </c>
      <c r="I63" s="216">
        <f>I33+I32</f>
        <v>10312557</v>
      </c>
      <c r="J63" s="216">
        <f t="shared" si="21"/>
        <v>0</v>
      </c>
      <c r="K63" s="216">
        <f t="shared" si="21"/>
        <v>10312557</v>
      </c>
      <c r="L63" s="216">
        <f>L62</f>
        <v>12580358</v>
      </c>
      <c r="M63" s="216">
        <f>M62</f>
        <v>12580358</v>
      </c>
      <c r="N63" s="216">
        <f>N62</f>
        <v>12580358</v>
      </c>
      <c r="O63" s="216">
        <f>O62</f>
        <v>12580358</v>
      </c>
      <c r="P63" s="216">
        <f>P62</f>
        <v>0</v>
      </c>
      <c r="Q63" s="216">
        <v>0</v>
      </c>
      <c r="R63" s="216">
        <v>0</v>
      </c>
      <c r="S63" s="216">
        <v>0</v>
      </c>
      <c r="T63" s="216">
        <v>0</v>
      </c>
      <c r="U63" s="216">
        <v>0</v>
      </c>
      <c r="V63" s="216">
        <v>0</v>
      </c>
      <c r="W63" s="216">
        <v>0</v>
      </c>
      <c r="X63" s="216">
        <v>0</v>
      </c>
      <c r="Y63" s="216">
        <v>0</v>
      </c>
      <c r="Z63" s="216">
        <v>0</v>
      </c>
      <c r="AA63" s="216">
        <v>0</v>
      </c>
      <c r="AB63" s="216">
        <v>0</v>
      </c>
      <c r="AC63" s="216">
        <v>0</v>
      </c>
      <c r="AD63" s="216">
        <v>0</v>
      </c>
    </row>
    <row r="64" spans="1:30" ht="27" customHeight="1" thickBot="1">
      <c r="A64" s="218" t="s">
        <v>164</v>
      </c>
      <c r="B64" s="1159" t="s">
        <v>202</v>
      </c>
      <c r="C64" s="1159"/>
      <c r="D64" s="1159"/>
      <c r="E64" s="219">
        <f>E31</f>
        <v>2267801</v>
      </c>
      <c r="F64" s="219">
        <f aca="true" t="shared" si="22" ref="F64:P64">F31</f>
        <v>2267801</v>
      </c>
      <c r="G64" s="219">
        <f>G31</f>
        <v>2267801</v>
      </c>
      <c r="H64" s="219">
        <f>H31</f>
        <v>2267801</v>
      </c>
      <c r="I64" s="219">
        <f>I31</f>
        <v>2267801</v>
      </c>
      <c r="J64" s="219">
        <f t="shared" si="22"/>
        <v>0</v>
      </c>
      <c r="K64" s="219">
        <f t="shared" si="22"/>
        <v>2267801</v>
      </c>
      <c r="L64" s="219">
        <f t="shared" si="22"/>
        <v>2267801</v>
      </c>
      <c r="M64" s="219">
        <f>M31</f>
        <v>2267801</v>
      </c>
      <c r="N64" s="219">
        <f>N31</f>
        <v>2267801</v>
      </c>
      <c r="O64" s="219">
        <f t="shared" si="22"/>
        <v>2267801</v>
      </c>
      <c r="P64" s="219">
        <f t="shared" si="22"/>
        <v>0</v>
      </c>
      <c r="Q64" s="219">
        <v>0</v>
      </c>
      <c r="R64" s="219">
        <v>0</v>
      </c>
      <c r="S64" s="219">
        <v>0</v>
      </c>
      <c r="T64" s="219">
        <v>0</v>
      </c>
      <c r="U64" s="219">
        <v>0</v>
      </c>
      <c r="V64" s="219">
        <v>0</v>
      </c>
      <c r="W64" s="219">
        <v>0</v>
      </c>
      <c r="X64" s="219">
        <v>0</v>
      </c>
      <c r="Y64" s="219">
        <v>0</v>
      </c>
      <c r="Z64" s="219">
        <v>0</v>
      </c>
      <c r="AA64" s="219">
        <v>0</v>
      </c>
      <c r="AB64" s="219">
        <v>0</v>
      </c>
      <c r="AC64" s="219">
        <v>0</v>
      </c>
      <c r="AD64" s="219">
        <v>0</v>
      </c>
    </row>
  </sheetData>
  <sheetProtection/>
  <mergeCells count="40">
    <mergeCell ref="B63:D63"/>
    <mergeCell ref="C31:D31"/>
    <mergeCell ref="C49:R49"/>
    <mergeCell ref="A36:D36"/>
    <mergeCell ref="B41:D41"/>
    <mergeCell ref="C44:D44"/>
    <mergeCell ref="B46:D46"/>
    <mergeCell ref="B47:D47"/>
    <mergeCell ref="B45:D45"/>
    <mergeCell ref="C43:R43"/>
    <mergeCell ref="B64:D64"/>
    <mergeCell ref="B52:D52"/>
    <mergeCell ref="B53:D53"/>
    <mergeCell ref="B58:D58"/>
    <mergeCell ref="B59:D59"/>
    <mergeCell ref="B61:D61"/>
    <mergeCell ref="B60:D60"/>
    <mergeCell ref="C55:R55"/>
    <mergeCell ref="C57:D57"/>
    <mergeCell ref="B62:D62"/>
    <mergeCell ref="C39:R39"/>
    <mergeCell ref="C19:D19"/>
    <mergeCell ref="A1:X1"/>
    <mergeCell ref="A3:D3"/>
    <mergeCell ref="B5:D5"/>
    <mergeCell ref="X3:AD3"/>
    <mergeCell ref="B16:D16"/>
    <mergeCell ref="C26:D26"/>
    <mergeCell ref="C17:D17"/>
    <mergeCell ref="C18:D18"/>
    <mergeCell ref="B29:D29"/>
    <mergeCell ref="C32:D32"/>
    <mergeCell ref="B30:D30"/>
    <mergeCell ref="B24:D24"/>
    <mergeCell ref="B51:D51"/>
    <mergeCell ref="A35:D35"/>
    <mergeCell ref="C33:D33"/>
    <mergeCell ref="C25:D25"/>
    <mergeCell ref="B34:D34"/>
    <mergeCell ref="C50:D50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portrait" paperSize="9" scale="41" r:id="rId1"/>
  <headerFooter differentOddEven="1" alignWithMargins="0">
    <oddHeader xml:space="preserve">&amp;C&amp;"Algerian,Normál"&amp;16BELED VÁROS ÖNKORMÁNYZATA
2019. ÉVI KÖLTSÉGVETÉSÉNEK ÖSSZEVONT MÉRLEGE&amp;R&amp;"MS Sans Serif,Félkövér dőlt"1. számú melléklet </oddHeader>
    <oddFooter>&amp;C2. oldal</oddFooter>
    <evenHeader>&amp;R1. sz?m? mell?klet</evenHeader>
    <evenFooter>&amp;C3. oldal</evenFooter>
    <firstFooter>&amp;C2[Oldal]</firstFooter>
  </headerFooter>
  <colBreaks count="2" manualBreakCount="2">
    <brk id="26" max="65" man="1"/>
    <brk id="28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57" sqref="C57"/>
    </sheetView>
  </sheetViews>
  <sheetFormatPr defaultColWidth="9.140625" defaultRowHeight="12.75"/>
  <cols>
    <col min="1" max="1" width="8.28125" style="264" customWidth="1"/>
    <col min="2" max="2" width="8.28125" style="261" customWidth="1"/>
    <col min="3" max="3" width="52.00390625" style="261" customWidth="1"/>
    <col min="4" max="6" width="8.28125" style="261" bestFit="1" customWidth="1"/>
    <col min="7" max="7" width="7.421875" style="261" bestFit="1" customWidth="1"/>
    <col min="8" max="8" width="8.421875" style="261" bestFit="1" customWidth="1"/>
    <col min="9" max="9" width="8.8515625" style="261" hidden="1" customWidth="1"/>
    <col min="10" max="12" width="8.28125" style="261" bestFit="1" customWidth="1"/>
    <col min="13" max="13" width="7.421875" style="261" bestFit="1" customWidth="1"/>
    <col min="14" max="14" width="8.421875" style="261" bestFit="1" customWidth="1"/>
    <col min="15" max="15" width="8.8515625" style="261" hidden="1" customWidth="1"/>
    <col min="16" max="16" width="12.421875" style="261" bestFit="1" customWidth="1"/>
    <col min="17" max="17" width="4.57421875" style="261" hidden="1" customWidth="1"/>
    <col min="18" max="18" width="0" style="261" hidden="1" customWidth="1"/>
    <col min="19" max="19" width="10.00390625" style="261" hidden="1" customWidth="1"/>
    <col min="20" max="20" width="0" style="261" hidden="1" customWidth="1"/>
    <col min="21" max="16384" width="9.140625" style="261" customWidth="1"/>
  </cols>
  <sheetData>
    <row r="1" spans="1:16" s="97" customFormat="1" ht="21" customHeight="1" hidden="1">
      <c r="A1" s="96"/>
      <c r="C1" s="98"/>
      <c r="D1" s="99"/>
      <c r="E1" s="99"/>
      <c r="F1" s="99"/>
      <c r="G1" s="99"/>
      <c r="H1" s="99"/>
      <c r="I1" s="99"/>
      <c r="J1" s="1352"/>
      <c r="K1" s="1352"/>
      <c r="L1" s="1352"/>
      <c r="M1" s="1352"/>
      <c r="N1" s="1352"/>
      <c r="O1" s="1352"/>
      <c r="P1" s="1352"/>
    </row>
    <row r="2" spans="1:16" s="102" customFormat="1" ht="25.5" customHeight="1" hidden="1" thickBot="1">
      <c r="A2" s="1191"/>
      <c r="B2" s="1191"/>
      <c r="C2" s="1191"/>
      <c r="D2" s="1191"/>
      <c r="E2" s="1191"/>
      <c r="F2" s="1191"/>
      <c r="G2" s="1191"/>
      <c r="H2" s="1191"/>
      <c r="I2" s="1191"/>
      <c r="J2" s="1191"/>
      <c r="K2" s="1191"/>
      <c r="L2" s="1191"/>
      <c r="M2" s="1191"/>
      <c r="N2" s="1191"/>
      <c r="O2" s="1191"/>
      <c r="P2" s="1191"/>
    </row>
    <row r="3" spans="1:20" s="105" customFormat="1" ht="40.5" customHeight="1" hidden="1" thickBot="1">
      <c r="A3" s="103"/>
      <c r="B3" s="103"/>
      <c r="C3" s="103"/>
      <c r="D3" s="1198" t="s">
        <v>4</v>
      </c>
      <c r="E3" s="1199"/>
      <c r="F3" s="1199"/>
      <c r="G3" s="1199"/>
      <c r="H3" s="1199"/>
      <c r="I3" s="1200"/>
      <c r="J3" s="1198" t="s">
        <v>104</v>
      </c>
      <c r="K3" s="1199"/>
      <c r="L3" s="1199"/>
      <c r="M3" s="1199"/>
      <c r="N3" s="1199"/>
      <c r="O3" s="1200"/>
      <c r="P3" s="1353" t="s">
        <v>152</v>
      </c>
      <c r="Q3" s="1354"/>
      <c r="R3" s="1354"/>
      <c r="S3" s="1355"/>
      <c r="T3" s="425"/>
    </row>
    <row r="4" spans="1:19" ht="24.75" hidden="1" thickBot="1">
      <c r="A4" s="1189" t="s">
        <v>106</v>
      </c>
      <c r="B4" s="1190"/>
      <c r="C4" s="407" t="s">
        <v>107</v>
      </c>
      <c r="D4" s="397" t="s">
        <v>64</v>
      </c>
      <c r="E4" s="106" t="s">
        <v>226</v>
      </c>
      <c r="F4" s="106" t="s">
        <v>229</v>
      </c>
      <c r="G4" s="106" t="s">
        <v>231</v>
      </c>
      <c r="H4" s="106" t="s">
        <v>243</v>
      </c>
      <c r="I4" s="368" t="s">
        <v>235</v>
      </c>
      <c r="J4" s="397" t="s">
        <v>64</v>
      </c>
      <c r="K4" s="106" t="s">
        <v>226</v>
      </c>
      <c r="L4" s="106" t="s">
        <v>229</v>
      </c>
      <c r="M4" s="106" t="s">
        <v>231</v>
      </c>
      <c r="N4" s="106" t="s">
        <v>243</v>
      </c>
      <c r="O4" s="368" t="s">
        <v>235</v>
      </c>
      <c r="P4" s="397" t="s">
        <v>244</v>
      </c>
      <c r="Q4" s="106" t="s">
        <v>240</v>
      </c>
      <c r="R4" s="106" t="s">
        <v>229</v>
      </c>
      <c r="S4" s="368" t="s">
        <v>229</v>
      </c>
    </row>
    <row r="5" spans="1:19" s="111" customFormat="1" ht="12.75" customHeight="1" hidden="1" thickBot="1">
      <c r="A5" s="108">
        <v>1</v>
      </c>
      <c r="B5" s="109">
        <v>2</v>
      </c>
      <c r="C5" s="251">
        <v>3</v>
      </c>
      <c r="D5" s="108"/>
      <c r="E5" s="109"/>
      <c r="F5" s="109"/>
      <c r="G5" s="109"/>
      <c r="H5" s="109"/>
      <c r="I5" s="110"/>
      <c r="J5" s="108"/>
      <c r="K5" s="109"/>
      <c r="L5" s="109"/>
      <c r="M5" s="109"/>
      <c r="N5" s="109"/>
      <c r="O5" s="110"/>
      <c r="P5" s="108"/>
      <c r="Q5" s="109"/>
      <c r="R5" s="109"/>
      <c r="S5" s="110"/>
    </row>
    <row r="6" spans="1:19" s="111" customFormat="1" ht="15.75" customHeight="1" hidden="1" thickBot="1">
      <c r="A6" s="112"/>
      <c r="B6" s="113"/>
      <c r="C6" s="113" t="s">
        <v>108</v>
      </c>
      <c r="D6" s="374"/>
      <c r="E6" s="173"/>
      <c r="F6" s="173"/>
      <c r="G6" s="173"/>
      <c r="H6" s="173"/>
      <c r="I6" s="235"/>
      <c r="J6" s="374"/>
      <c r="K6" s="173"/>
      <c r="L6" s="173"/>
      <c r="M6" s="173"/>
      <c r="N6" s="173"/>
      <c r="O6" s="235"/>
      <c r="P6" s="374"/>
      <c r="Q6" s="173"/>
      <c r="R6" s="173"/>
      <c r="S6" s="235"/>
    </row>
    <row r="7" spans="1:19" s="117" customFormat="1" ht="12" customHeight="1" hidden="1" thickBot="1">
      <c r="A7" s="108" t="s">
        <v>26</v>
      </c>
      <c r="B7" s="114"/>
      <c r="C7" s="408" t="s">
        <v>109</v>
      </c>
      <c r="D7" s="375"/>
      <c r="E7" s="174"/>
      <c r="F7" s="174"/>
      <c r="G7" s="174"/>
      <c r="H7" s="434"/>
      <c r="I7" s="316"/>
      <c r="J7" s="375"/>
      <c r="K7" s="174"/>
      <c r="L7" s="174"/>
      <c r="M7" s="174"/>
      <c r="N7" s="434"/>
      <c r="O7" s="316"/>
      <c r="P7" s="375"/>
      <c r="Q7" s="174"/>
      <c r="R7" s="174"/>
      <c r="S7" s="116"/>
    </row>
    <row r="8" spans="1:19" s="117" customFormat="1" ht="12" customHeight="1" hidden="1" thickBot="1">
      <c r="A8" s="108" t="s">
        <v>9</v>
      </c>
      <c r="B8" s="114"/>
      <c r="C8" s="408" t="s">
        <v>115</v>
      </c>
      <c r="D8" s="375">
        <f aca="true" t="shared" si="0" ref="D8:M8">SUM(D9:D12)</f>
        <v>0</v>
      </c>
      <c r="E8" s="174">
        <f t="shared" si="0"/>
        <v>0</v>
      </c>
      <c r="F8" s="174">
        <f t="shared" si="0"/>
        <v>0</v>
      </c>
      <c r="G8" s="174">
        <f>SUM(G9:G12)</f>
        <v>0</v>
      </c>
      <c r="H8" s="434">
        <f>SUM(H9:H12)</f>
        <v>0</v>
      </c>
      <c r="I8" s="316"/>
      <c r="J8" s="375">
        <f t="shared" si="0"/>
        <v>0</v>
      </c>
      <c r="K8" s="174">
        <f t="shared" si="0"/>
        <v>0</v>
      </c>
      <c r="L8" s="174">
        <f t="shared" si="0"/>
        <v>0</v>
      </c>
      <c r="M8" s="174">
        <f t="shared" si="0"/>
        <v>0</v>
      </c>
      <c r="N8" s="434" t="s">
        <v>245</v>
      </c>
      <c r="O8" s="316"/>
      <c r="P8" s="375"/>
      <c r="Q8" s="174"/>
      <c r="R8" s="174"/>
      <c r="S8" s="116"/>
    </row>
    <row r="9" spans="1:19" s="123" customFormat="1" ht="12" customHeight="1" hidden="1">
      <c r="A9" s="120"/>
      <c r="B9" s="119" t="s">
        <v>116</v>
      </c>
      <c r="C9" s="387" t="s">
        <v>71</v>
      </c>
      <c r="D9" s="377"/>
      <c r="E9" s="175"/>
      <c r="F9" s="175"/>
      <c r="G9" s="175"/>
      <c r="H9" s="435"/>
      <c r="I9" s="396"/>
      <c r="J9" s="377"/>
      <c r="K9" s="175"/>
      <c r="L9" s="175"/>
      <c r="M9" s="175"/>
      <c r="N9" s="435"/>
      <c r="O9" s="396"/>
      <c r="P9" s="377"/>
      <c r="Q9" s="175"/>
      <c r="R9" s="175"/>
      <c r="S9" s="122"/>
    </row>
    <row r="10" spans="1:19" s="123" customFormat="1" ht="12" customHeight="1" hidden="1">
      <c r="A10" s="120"/>
      <c r="B10" s="119" t="s">
        <v>117</v>
      </c>
      <c r="C10" s="388" t="s">
        <v>118</v>
      </c>
      <c r="D10" s="377"/>
      <c r="E10" s="175"/>
      <c r="F10" s="175"/>
      <c r="G10" s="175"/>
      <c r="H10" s="435"/>
      <c r="I10" s="420"/>
      <c r="J10" s="377"/>
      <c r="K10" s="175"/>
      <c r="L10" s="175"/>
      <c r="M10" s="175"/>
      <c r="N10" s="435"/>
      <c r="O10" s="420"/>
      <c r="P10" s="377"/>
      <c r="Q10" s="175"/>
      <c r="R10" s="175"/>
      <c r="S10" s="122"/>
    </row>
    <row r="11" spans="1:19" s="123" customFormat="1" ht="12" customHeight="1" hidden="1">
      <c r="A11" s="120"/>
      <c r="B11" s="119" t="s">
        <v>119</v>
      </c>
      <c r="C11" s="388" t="s">
        <v>72</v>
      </c>
      <c r="D11" s="377"/>
      <c r="E11" s="175"/>
      <c r="F11" s="175"/>
      <c r="G11" s="175"/>
      <c r="H11" s="435"/>
      <c r="I11" s="420"/>
      <c r="J11" s="377"/>
      <c r="K11" s="175"/>
      <c r="L11" s="175"/>
      <c r="M11" s="175"/>
      <c r="N11" s="435"/>
      <c r="O11" s="420"/>
      <c r="P11" s="377"/>
      <c r="Q11" s="175"/>
      <c r="R11" s="175"/>
      <c r="S11" s="122"/>
    </row>
    <row r="12" spans="1:19" s="123" customFormat="1" ht="12" customHeight="1" hidden="1" thickBot="1">
      <c r="A12" s="120"/>
      <c r="B12" s="119" t="s">
        <v>120</v>
      </c>
      <c r="C12" s="388" t="s">
        <v>118</v>
      </c>
      <c r="D12" s="377"/>
      <c r="E12" s="175"/>
      <c r="F12" s="175"/>
      <c r="G12" s="175"/>
      <c r="H12" s="435"/>
      <c r="I12" s="426"/>
      <c r="J12" s="377"/>
      <c r="K12" s="175"/>
      <c r="L12" s="175"/>
      <c r="M12" s="175"/>
      <c r="N12" s="435"/>
      <c r="O12" s="426"/>
      <c r="P12" s="377"/>
      <c r="Q12" s="175"/>
      <c r="R12" s="175"/>
      <c r="S12" s="122"/>
    </row>
    <row r="13" spans="1:19" s="123" customFormat="1" ht="12" customHeight="1" hidden="1" thickBot="1">
      <c r="A13" s="126" t="s">
        <v>10</v>
      </c>
      <c r="B13" s="127"/>
      <c r="C13" s="386" t="s">
        <v>121</v>
      </c>
      <c r="D13" s="375">
        <f aca="true" t="shared" si="1" ref="D13:M13">SUM(D14:D15)</f>
        <v>0</v>
      </c>
      <c r="E13" s="174">
        <f t="shared" si="1"/>
        <v>0</v>
      </c>
      <c r="F13" s="174">
        <f t="shared" si="1"/>
        <v>0</v>
      </c>
      <c r="G13" s="174">
        <f>SUM(G14:G15)</f>
        <v>0</v>
      </c>
      <c r="H13" s="434"/>
      <c r="I13" s="316"/>
      <c r="J13" s="375">
        <f t="shared" si="1"/>
        <v>0</v>
      </c>
      <c r="K13" s="174">
        <f t="shared" si="1"/>
        <v>0</v>
      </c>
      <c r="L13" s="174">
        <f t="shared" si="1"/>
        <v>0</v>
      </c>
      <c r="M13" s="174">
        <f t="shared" si="1"/>
        <v>0</v>
      </c>
      <c r="N13" s="434"/>
      <c r="O13" s="316"/>
      <c r="P13" s="375"/>
      <c r="Q13" s="174"/>
      <c r="R13" s="174"/>
      <c r="S13" s="116"/>
    </row>
    <row r="14" spans="1:19" s="117" customFormat="1" ht="12" customHeight="1" hidden="1">
      <c r="A14" s="128"/>
      <c r="B14" s="129" t="s">
        <v>122</v>
      </c>
      <c r="C14" s="409" t="s">
        <v>123</v>
      </c>
      <c r="D14" s="378"/>
      <c r="E14" s="176"/>
      <c r="F14" s="176"/>
      <c r="G14" s="176"/>
      <c r="H14" s="436"/>
      <c r="I14" s="396"/>
      <c r="J14" s="378"/>
      <c r="K14" s="176"/>
      <c r="L14" s="176"/>
      <c r="M14" s="176"/>
      <c r="N14" s="436"/>
      <c r="O14" s="396"/>
      <c r="P14" s="378"/>
      <c r="Q14" s="176"/>
      <c r="R14" s="176"/>
      <c r="S14" s="131"/>
    </row>
    <row r="15" spans="1:19" s="117" customFormat="1" ht="12" customHeight="1" hidden="1" thickBot="1">
      <c r="A15" s="132"/>
      <c r="B15" s="133" t="s">
        <v>124</v>
      </c>
      <c r="C15" s="410" t="s">
        <v>125</v>
      </c>
      <c r="D15" s="379"/>
      <c r="E15" s="177"/>
      <c r="F15" s="177"/>
      <c r="G15" s="177"/>
      <c r="H15" s="437"/>
      <c r="I15" s="426"/>
      <c r="J15" s="379"/>
      <c r="K15" s="177"/>
      <c r="L15" s="177"/>
      <c r="M15" s="177"/>
      <c r="N15" s="437"/>
      <c r="O15" s="426"/>
      <c r="P15" s="379"/>
      <c r="Q15" s="177"/>
      <c r="R15" s="177"/>
      <c r="S15" s="135"/>
    </row>
    <row r="16" spans="1:19" s="117" customFormat="1" ht="12" customHeight="1" hidden="1" thickBot="1">
      <c r="A16" s="126" t="s">
        <v>11</v>
      </c>
      <c r="B16" s="114"/>
      <c r="C16" s="386" t="s">
        <v>126</v>
      </c>
      <c r="D16" s="380"/>
      <c r="E16" s="178"/>
      <c r="F16" s="178"/>
      <c r="G16" s="178"/>
      <c r="H16" s="438"/>
      <c r="I16" s="316"/>
      <c r="J16" s="380"/>
      <c r="K16" s="178"/>
      <c r="L16" s="178"/>
      <c r="M16" s="178"/>
      <c r="N16" s="438" t="s">
        <v>245</v>
      </c>
      <c r="O16" s="316"/>
      <c r="P16" s="380"/>
      <c r="Q16" s="178"/>
      <c r="R16" s="178"/>
      <c r="S16" s="136"/>
    </row>
    <row r="17" spans="1:19" s="117" customFormat="1" ht="12" customHeight="1" hidden="1" thickBot="1">
      <c r="A17" s="108" t="s">
        <v>12</v>
      </c>
      <c r="B17" s="137"/>
      <c r="C17" s="386" t="s">
        <v>127</v>
      </c>
      <c r="D17" s="375">
        <f aca="true" t="shared" si="2" ref="D17:M17">D7+D8+D13+D16</f>
        <v>0</v>
      </c>
      <c r="E17" s="174">
        <f t="shared" si="2"/>
        <v>0</v>
      </c>
      <c r="F17" s="174">
        <f t="shared" si="2"/>
        <v>0</v>
      </c>
      <c r="G17" s="174">
        <f t="shared" si="2"/>
        <v>0</v>
      </c>
      <c r="H17" s="434" t="s">
        <v>245</v>
      </c>
      <c r="I17" s="316"/>
      <c r="J17" s="375">
        <f t="shared" si="2"/>
        <v>0</v>
      </c>
      <c r="K17" s="174">
        <f t="shared" si="2"/>
        <v>0</v>
      </c>
      <c r="L17" s="174">
        <f t="shared" si="2"/>
        <v>0</v>
      </c>
      <c r="M17" s="174">
        <f t="shared" si="2"/>
        <v>0</v>
      </c>
      <c r="N17" s="434" t="s">
        <v>245</v>
      </c>
      <c r="O17" s="316"/>
      <c r="P17" s="375"/>
      <c r="Q17" s="174"/>
      <c r="R17" s="174"/>
      <c r="S17" s="116"/>
    </row>
    <row r="18" spans="1:19" s="123" customFormat="1" ht="12" customHeight="1" hidden="1" thickBot="1">
      <c r="A18" s="138" t="s">
        <v>13</v>
      </c>
      <c r="B18" s="117"/>
      <c r="C18" s="411" t="s">
        <v>128</v>
      </c>
      <c r="D18" s="381">
        <f aca="true" t="shared" si="3" ref="D18:M18">SUM(D19:D20)</f>
        <v>0</v>
      </c>
      <c r="E18" s="179">
        <f t="shared" si="3"/>
        <v>0</v>
      </c>
      <c r="F18" s="179">
        <f t="shared" si="3"/>
        <v>0</v>
      </c>
      <c r="G18" s="179">
        <f>SUM(G19:G20)</f>
        <v>0</v>
      </c>
      <c r="H18" s="439" t="s">
        <v>245</v>
      </c>
      <c r="I18" s="316"/>
      <c r="J18" s="381">
        <f t="shared" si="3"/>
        <v>0</v>
      </c>
      <c r="K18" s="179">
        <f t="shared" si="3"/>
        <v>0</v>
      </c>
      <c r="L18" s="179">
        <f t="shared" si="3"/>
        <v>0</v>
      </c>
      <c r="M18" s="179">
        <f t="shared" si="3"/>
        <v>0</v>
      </c>
      <c r="N18" s="439" t="s">
        <v>245</v>
      </c>
      <c r="O18" s="316"/>
      <c r="P18" s="375"/>
      <c r="Q18" s="174"/>
      <c r="R18" s="174"/>
      <c r="S18" s="116"/>
    </row>
    <row r="19" spans="1:19" s="123" customFormat="1" ht="15" customHeight="1" hidden="1">
      <c r="A19" s="118"/>
      <c r="B19" s="140" t="s">
        <v>129</v>
      </c>
      <c r="C19" s="409" t="s">
        <v>130</v>
      </c>
      <c r="D19" s="378"/>
      <c r="E19" s="176"/>
      <c r="F19" s="176"/>
      <c r="G19" s="176"/>
      <c r="H19" s="436"/>
      <c r="I19" s="396"/>
      <c r="J19" s="378"/>
      <c r="K19" s="176"/>
      <c r="L19" s="176"/>
      <c r="M19" s="176"/>
      <c r="N19" s="436" t="s">
        <v>245</v>
      </c>
      <c r="O19" s="396"/>
      <c r="P19" s="384"/>
      <c r="Q19" s="385"/>
      <c r="R19" s="385"/>
      <c r="S19" s="232"/>
    </row>
    <row r="20" spans="1:19" s="123" customFormat="1" ht="15" customHeight="1" hidden="1" thickBot="1">
      <c r="A20" s="141"/>
      <c r="B20" s="142" t="s">
        <v>131</v>
      </c>
      <c r="C20" s="412" t="s">
        <v>132</v>
      </c>
      <c r="D20" s="382"/>
      <c r="E20" s="180"/>
      <c r="F20" s="180"/>
      <c r="G20" s="180"/>
      <c r="H20" s="440"/>
      <c r="I20" s="426"/>
      <c r="J20" s="382"/>
      <c r="K20" s="180"/>
      <c r="L20" s="180"/>
      <c r="M20" s="180"/>
      <c r="N20" s="440"/>
      <c r="O20" s="426"/>
      <c r="P20" s="382"/>
      <c r="Q20" s="180"/>
      <c r="R20" s="180"/>
      <c r="S20" s="144"/>
    </row>
    <row r="21" spans="1:19" ht="13.5" hidden="1" thickBot="1">
      <c r="A21" s="145" t="s">
        <v>56</v>
      </c>
      <c r="B21" s="262"/>
      <c r="C21" s="390" t="s">
        <v>133</v>
      </c>
      <c r="D21" s="380"/>
      <c r="E21" s="178"/>
      <c r="F21" s="178"/>
      <c r="G21" s="178"/>
      <c r="H21" s="438"/>
      <c r="I21" s="316"/>
      <c r="J21" s="380"/>
      <c r="K21" s="178"/>
      <c r="L21" s="178"/>
      <c r="M21" s="178"/>
      <c r="N21" s="438"/>
      <c r="O21" s="316"/>
      <c r="P21" s="380"/>
      <c r="Q21" s="178"/>
      <c r="R21" s="178"/>
      <c r="S21" s="136"/>
    </row>
    <row r="22" spans="1:19" s="111" customFormat="1" ht="16.5" customHeight="1" hidden="1" thickBot="1">
      <c r="A22" s="145" t="s">
        <v>57</v>
      </c>
      <c r="B22" s="263"/>
      <c r="C22" s="413" t="s">
        <v>134</v>
      </c>
      <c r="D22" s="383">
        <f aca="true" t="shared" si="4" ref="D22:M22">D17+D21+D18</f>
        <v>0</v>
      </c>
      <c r="E22" s="181">
        <f t="shared" si="4"/>
        <v>0</v>
      </c>
      <c r="F22" s="181">
        <f t="shared" si="4"/>
        <v>0</v>
      </c>
      <c r="G22" s="181">
        <f t="shared" si="4"/>
        <v>0</v>
      </c>
      <c r="H22" s="441" t="s">
        <v>245</v>
      </c>
      <c r="I22" s="316"/>
      <c r="J22" s="383">
        <f t="shared" si="4"/>
        <v>0</v>
      </c>
      <c r="K22" s="181">
        <f t="shared" si="4"/>
        <v>0</v>
      </c>
      <c r="L22" s="181">
        <f t="shared" si="4"/>
        <v>0</v>
      </c>
      <c r="M22" s="181">
        <f t="shared" si="4"/>
        <v>0</v>
      </c>
      <c r="N22" s="441" t="s">
        <v>245</v>
      </c>
      <c r="O22" s="316"/>
      <c r="P22" s="383"/>
      <c r="Q22" s="181"/>
      <c r="R22" s="181"/>
      <c r="S22" s="168"/>
    </row>
    <row r="23" spans="1:19" s="154" customFormat="1" ht="12" customHeight="1" hidden="1">
      <c r="A23" s="151"/>
      <c r="B23" s="151"/>
      <c r="C23" s="152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</row>
    <row r="24" spans="1:18" ht="12" customHeight="1" hidden="1" thickBot="1">
      <c r="A24" s="155"/>
      <c r="B24" s="156"/>
      <c r="C24" s="156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</row>
    <row r="25" spans="1:19" ht="12" customHeight="1" hidden="1" thickBot="1">
      <c r="A25" s="158"/>
      <c r="B25" s="159"/>
      <c r="C25" s="160" t="s">
        <v>135</v>
      </c>
      <c r="D25" s="172"/>
      <c r="E25" s="172"/>
      <c r="F25" s="172"/>
      <c r="G25" s="172"/>
      <c r="H25" s="172"/>
      <c r="I25" s="172"/>
      <c r="J25" s="181"/>
      <c r="K25" s="181"/>
      <c r="L25" s="172"/>
      <c r="M25" s="172"/>
      <c r="N25" s="172"/>
      <c r="O25" s="172"/>
      <c r="P25" s="150"/>
      <c r="Q25" s="150"/>
      <c r="R25" s="150"/>
      <c r="S25" s="150"/>
    </row>
    <row r="26" spans="1:19" ht="12" customHeight="1" hidden="1" thickBot="1">
      <c r="A26" s="126" t="s">
        <v>26</v>
      </c>
      <c r="B26" s="161"/>
      <c r="C26" s="386" t="s">
        <v>136</v>
      </c>
      <c r="D26" s="375">
        <f aca="true" t="shared" si="5" ref="D26:M26">SUM(D27:D31)</f>
        <v>0</v>
      </c>
      <c r="E26" s="174">
        <f t="shared" si="5"/>
        <v>0</v>
      </c>
      <c r="F26" s="174">
        <f t="shared" si="5"/>
        <v>0</v>
      </c>
      <c r="G26" s="174">
        <f>SUM(G27:G31)</f>
        <v>0</v>
      </c>
      <c r="H26" s="442" t="s">
        <v>245</v>
      </c>
      <c r="I26" s="371"/>
      <c r="J26" s="375">
        <f t="shared" si="5"/>
        <v>0</v>
      </c>
      <c r="K26" s="174">
        <f t="shared" si="5"/>
        <v>0</v>
      </c>
      <c r="L26" s="174">
        <f t="shared" si="5"/>
        <v>0</v>
      </c>
      <c r="M26" s="174">
        <f t="shared" si="5"/>
        <v>0</v>
      </c>
      <c r="N26" s="442" t="s">
        <v>245</v>
      </c>
      <c r="O26" s="371"/>
      <c r="P26" s="427"/>
      <c r="Q26" s="369"/>
      <c r="R26" s="116"/>
      <c r="S26" s="116"/>
    </row>
    <row r="27" spans="1:19" ht="12" customHeight="1" hidden="1">
      <c r="A27" s="162"/>
      <c r="B27" s="163" t="s">
        <v>110</v>
      </c>
      <c r="C27" s="387" t="s">
        <v>137</v>
      </c>
      <c r="D27" s="393"/>
      <c r="E27" s="182"/>
      <c r="F27" s="182"/>
      <c r="G27" s="182"/>
      <c r="H27" s="443"/>
      <c r="I27" s="372"/>
      <c r="J27" s="393"/>
      <c r="K27" s="182"/>
      <c r="L27" s="182"/>
      <c r="M27" s="182"/>
      <c r="N27" s="443"/>
      <c r="O27" s="372"/>
      <c r="P27" s="428"/>
      <c r="Q27" s="400"/>
      <c r="R27" s="122"/>
      <c r="S27" s="122"/>
    </row>
    <row r="28" spans="1:19" ht="12" customHeight="1" hidden="1">
      <c r="A28" s="164"/>
      <c r="B28" s="165" t="s">
        <v>111</v>
      </c>
      <c r="C28" s="388" t="s">
        <v>50</v>
      </c>
      <c r="D28" s="394"/>
      <c r="E28" s="183"/>
      <c r="F28" s="183"/>
      <c r="G28" s="183"/>
      <c r="H28" s="444"/>
      <c r="I28" s="416"/>
      <c r="J28" s="394"/>
      <c r="K28" s="183"/>
      <c r="L28" s="183"/>
      <c r="M28" s="183"/>
      <c r="N28" s="444"/>
      <c r="O28" s="416"/>
      <c r="P28" s="428"/>
      <c r="Q28" s="400"/>
      <c r="R28" s="122"/>
      <c r="S28" s="122"/>
    </row>
    <row r="29" spans="1:19" ht="12" customHeight="1" hidden="1">
      <c r="A29" s="164"/>
      <c r="B29" s="165" t="s">
        <v>112</v>
      </c>
      <c r="C29" s="388" t="s">
        <v>138</v>
      </c>
      <c r="D29" s="394"/>
      <c r="E29" s="183"/>
      <c r="F29" s="183"/>
      <c r="G29" s="183"/>
      <c r="H29" s="444"/>
      <c r="I29" s="416"/>
      <c r="J29" s="394"/>
      <c r="K29" s="183"/>
      <c r="L29" s="183"/>
      <c r="M29" s="183"/>
      <c r="N29" s="444"/>
      <c r="O29" s="416"/>
      <c r="P29" s="428"/>
      <c r="Q29" s="400"/>
      <c r="R29" s="122"/>
      <c r="S29" s="122"/>
    </row>
    <row r="30" spans="1:19" s="154" customFormat="1" ht="12" customHeight="1" hidden="1">
      <c r="A30" s="164"/>
      <c r="B30" s="165" t="s">
        <v>113</v>
      </c>
      <c r="C30" s="388" t="s">
        <v>80</v>
      </c>
      <c r="D30" s="394"/>
      <c r="E30" s="183"/>
      <c r="F30" s="183"/>
      <c r="G30" s="183"/>
      <c r="H30" s="444"/>
      <c r="I30" s="417"/>
      <c r="J30" s="394"/>
      <c r="K30" s="183"/>
      <c r="L30" s="183"/>
      <c r="M30" s="183"/>
      <c r="N30" s="444"/>
      <c r="O30" s="417"/>
      <c r="P30" s="428"/>
      <c r="Q30" s="400"/>
      <c r="R30" s="122"/>
      <c r="S30" s="122"/>
    </row>
    <row r="31" spans="1:19" ht="12" customHeight="1" hidden="1" thickBot="1">
      <c r="A31" s="164"/>
      <c r="B31" s="165" t="s">
        <v>49</v>
      </c>
      <c r="C31" s="388" t="s">
        <v>82</v>
      </c>
      <c r="D31" s="394"/>
      <c r="E31" s="183"/>
      <c r="F31" s="183"/>
      <c r="G31" s="183"/>
      <c r="H31" s="444"/>
      <c r="I31" s="418"/>
      <c r="J31" s="394"/>
      <c r="K31" s="183"/>
      <c r="L31" s="183"/>
      <c r="M31" s="183"/>
      <c r="N31" s="444"/>
      <c r="O31" s="418"/>
      <c r="P31" s="429"/>
      <c r="Q31" s="401"/>
      <c r="R31" s="166"/>
      <c r="S31" s="166"/>
    </row>
    <row r="32" spans="1:19" ht="12" customHeight="1" hidden="1" thickBot="1">
      <c r="A32" s="126" t="s">
        <v>27</v>
      </c>
      <c r="B32" s="161"/>
      <c r="C32" s="386" t="s">
        <v>139</v>
      </c>
      <c r="D32" s="375">
        <f>SUM(D33:D36)</f>
        <v>0</v>
      </c>
      <c r="E32" s="174">
        <f>SUM(E33:E36)</f>
        <v>0</v>
      </c>
      <c r="F32" s="174">
        <f>SUM(F33:F36)</f>
        <v>0</v>
      </c>
      <c r="G32" s="174">
        <f>SUM(G33:G36)</f>
        <v>0</v>
      </c>
      <c r="H32" s="442"/>
      <c r="I32" s="373"/>
      <c r="J32" s="375"/>
      <c r="K32" s="174"/>
      <c r="L32" s="174">
        <f>SUM(L33:L36)</f>
        <v>0</v>
      </c>
      <c r="M32" s="174">
        <f>SUM(M33:M36)</f>
        <v>0</v>
      </c>
      <c r="N32" s="442"/>
      <c r="O32" s="373"/>
      <c r="P32" s="427"/>
      <c r="Q32" s="369"/>
      <c r="R32" s="116"/>
      <c r="S32" s="116"/>
    </row>
    <row r="33" spans="1:19" ht="12" customHeight="1" hidden="1">
      <c r="A33" s="162"/>
      <c r="B33" s="163" t="s">
        <v>140</v>
      </c>
      <c r="C33" s="387" t="s">
        <v>92</v>
      </c>
      <c r="D33" s="393"/>
      <c r="E33" s="182"/>
      <c r="F33" s="182"/>
      <c r="G33" s="182"/>
      <c r="H33" s="443"/>
      <c r="I33" s="417"/>
      <c r="J33" s="393"/>
      <c r="K33" s="182"/>
      <c r="L33" s="182"/>
      <c r="M33" s="182"/>
      <c r="N33" s="443"/>
      <c r="O33" s="417"/>
      <c r="P33" s="428"/>
      <c r="Q33" s="400"/>
      <c r="R33" s="122"/>
      <c r="S33" s="122"/>
    </row>
    <row r="34" spans="1:19" ht="12" customHeight="1" hidden="1">
      <c r="A34" s="164"/>
      <c r="B34" s="165" t="s">
        <v>141</v>
      </c>
      <c r="C34" s="388" t="s">
        <v>93</v>
      </c>
      <c r="D34" s="394">
        <v>0</v>
      </c>
      <c r="E34" s="183">
        <v>0</v>
      </c>
      <c r="F34" s="183">
        <v>0</v>
      </c>
      <c r="G34" s="183">
        <v>0</v>
      </c>
      <c r="H34" s="444"/>
      <c r="I34" s="418"/>
      <c r="J34" s="394"/>
      <c r="K34" s="183"/>
      <c r="L34" s="183">
        <v>0</v>
      </c>
      <c r="M34" s="183">
        <v>0</v>
      </c>
      <c r="N34" s="444"/>
      <c r="O34" s="418"/>
      <c r="P34" s="429"/>
      <c r="Q34" s="401"/>
      <c r="R34" s="166"/>
      <c r="S34" s="166"/>
    </row>
    <row r="35" spans="1:19" ht="15" customHeight="1" hidden="1">
      <c r="A35" s="164"/>
      <c r="B35" s="165" t="s">
        <v>142</v>
      </c>
      <c r="C35" s="388" t="s">
        <v>143</v>
      </c>
      <c r="D35" s="394"/>
      <c r="E35" s="183"/>
      <c r="F35" s="183"/>
      <c r="G35" s="183"/>
      <c r="H35" s="444"/>
      <c r="I35" s="418"/>
      <c r="J35" s="394"/>
      <c r="K35" s="183"/>
      <c r="L35" s="183"/>
      <c r="M35" s="183"/>
      <c r="N35" s="444"/>
      <c r="O35" s="418"/>
      <c r="P35" s="429"/>
      <c r="Q35" s="401"/>
      <c r="R35" s="166"/>
      <c r="S35" s="166"/>
    </row>
    <row r="36" spans="1:19" ht="13.5" hidden="1" thickBot="1">
      <c r="A36" s="164"/>
      <c r="B36" s="165" t="s">
        <v>144</v>
      </c>
      <c r="C36" s="388" t="s">
        <v>145</v>
      </c>
      <c r="D36" s="394"/>
      <c r="E36" s="183"/>
      <c r="F36" s="183"/>
      <c r="G36" s="183"/>
      <c r="H36" s="444"/>
      <c r="I36" s="418"/>
      <c r="J36" s="394"/>
      <c r="K36" s="183"/>
      <c r="L36" s="183"/>
      <c r="M36" s="183"/>
      <c r="N36" s="444"/>
      <c r="O36" s="418"/>
      <c r="P36" s="429"/>
      <c r="Q36" s="401"/>
      <c r="R36" s="166"/>
      <c r="S36" s="166"/>
    </row>
    <row r="37" spans="1:19" ht="15" customHeight="1" hidden="1" thickBot="1">
      <c r="A37" s="126" t="s">
        <v>9</v>
      </c>
      <c r="B37" s="161"/>
      <c r="C37" s="389" t="s">
        <v>233</v>
      </c>
      <c r="D37" s="380"/>
      <c r="E37" s="178"/>
      <c r="F37" s="178"/>
      <c r="G37" s="178"/>
      <c r="H37" s="445" t="s">
        <v>245</v>
      </c>
      <c r="I37" s="371"/>
      <c r="J37" s="380"/>
      <c r="K37" s="178"/>
      <c r="L37" s="178"/>
      <c r="M37" s="178"/>
      <c r="N37" s="445" t="s">
        <v>245</v>
      </c>
      <c r="O37" s="371"/>
      <c r="P37" s="430"/>
      <c r="Q37" s="370"/>
      <c r="R37" s="136"/>
      <c r="S37" s="136"/>
    </row>
    <row r="38" spans="1:19" ht="14.25" customHeight="1" hidden="1" thickBot="1">
      <c r="A38" s="145" t="s">
        <v>10</v>
      </c>
      <c r="B38" s="262"/>
      <c r="C38" s="390" t="s">
        <v>147</v>
      </c>
      <c r="D38" s="380"/>
      <c r="E38" s="178"/>
      <c r="F38" s="178"/>
      <c r="G38" s="178"/>
      <c r="H38" s="445"/>
      <c r="I38" s="371"/>
      <c r="J38" s="380"/>
      <c r="K38" s="178"/>
      <c r="L38" s="178"/>
      <c r="M38" s="178"/>
      <c r="N38" s="445"/>
      <c r="O38" s="371"/>
      <c r="P38" s="430"/>
      <c r="Q38" s="370"/>
      <c r="R38" s="136"/>
      <c r="S38" s="136"/>
    </row>
    <row r="39" spans="1:19" ht="13.5" hidden="1" thickBot="1">
      <c r="A39" s="126" t="s">
        <v>11</v>
      </c>
      <c r="B39" s="167"/>
      <c r="C39" s="391" t="s">
        <v>148</v>
      </c>
      <c r="D39" s="383">
        <f aca="true" t="shared" si="6" ref="D39:M39">D26+D32+D37+D38</f>
        <v>0</v>
      </c>
      <c r="E39" s="181">
        <f t="shared" si="6"/>
        <v>0</v>
      </c>
      <c r="F39" s="181">
        <f t="shared" si="6"/>
        <v>0</v>
      </c>
      <c r="G39" s="181">
        <f t="shared" si="6"/>
        <v>0</v>
      </c>
      <c r="H39" s="446" t="s">
        <v>245</v>
      </c>
      <c r="I39" s="371"/>
      <c r="J39" s="383">
        <f t="shared" si="6"/>
        <v>0</v>
      </c>
      <c r="K39" s="181">
        <f t="shared" si="6"/>
        <v>0</v>
      </c>
      <c r="L39" s="181">
        <f t="shared" si="6"/>
        <v>0</v>
      </c>
      <c r="M39" s="181">
        <f t="shared" si="6"/>
        <v>0</v>
      </c>
      <c r="N39" s="446" t="s">
        <v>245</v>
      </c>
      <c r="O39" s="371"/>
      <c r="P39" s="431"/>
      <c r="Q39" s="150"/>
      <c r="R39" s="168"/>
      <c r="S39" s="168"/>
    </row>
    <row r="40" spans="4:19" ht="13.5" hidden="1" thickBot="1">
      <c r="D40" s="422"/>
      <c r="E40" s="423"/>
      <c r="F40" s="423"/>
      <c r="G40" s="423"/>
      <c r="H40" s="447"/>
      <c r="I40" s="265"/>
      <c r="J40" s="422"/>
      <c r="K40" s="423"/>
      <c r="L40" s="423"/>
      <c r="M40" s="423"/>
      <c r="N40" s="447"/>
      <c r="O40" s="265"/>
      <c r="P40" s="432"/>
      <c r="Q40" s="265"/>
      <c r="R40" s="265"/>
      <c r="S40" s="265"/>
    </row>
    <row r="41" spans="1:19" ht="13.5" hidden="1" thickBot="1">
      <c r="A41" s="170" t="s">
        <v>149</v>
      </c>
      <c r="B41" s="171"/>
      <c r="C41" s="392"/>
      <c r="D41" s="406"/>
      <c r="E41" s="186"/>
      <c r="F41" s="186"/>
      <c r="G41" s="186"/>
      <c r="H41" s="448"/>
      <c r="I41" s="371"/>
      <c r="J41" s="406"/>
      <c r="K41" s="186"/>
      <c r="L41" s="186"/>
      <c r="M41" s="186"/>
      <c r="N41" s="448"/>
      <c r="O41" s="371"/>
      <c r="P41" s="433"/>
      <c r="Q41" s="185"/>
      <c r="R41" s="185"/>
      <c r="S41" s="185"/>
    </row>
    <row r="42" spans="1:19" ht="13.5" hidden="1" thickBot="1">
      <c r="A42" s="170" t="s">
        <v>150</v>
      </c>
      <c r="B42" s="171"/>
      <c r="C42" s="392"/>
      <c r="D42" s="406"/>
      <c r="E42" s="186"/>
      <c r="F42" s="186"/>
      <c r="G42" s="186"/>
      <c r="H42" s="448"/>
      <c r="I42" s="371"/>
      <c r="J42" s="406"/>
      <c r="K42" s="186"/>
      <c r="L42" s="186"/>
      <c r="M42" s="186"/>
      <c r="N42" s="448"/>
      <c r="O42" s="371"/>
      <c r="P42" s="433"/>
      <c r="Q42" s="185"/>
      <c r="R42" s="185"/>
      <c r="S42" s="185"/>
    </row>
    <row r="43" ht="12.75" hidden="1"/>
    <row r="44" spans="1:9" ht="12.75" hidden="1">
      <c r="A44" s="1192" t="s">
        <v>151</v>
      </c>
      <c r="B44" s="1192"/>
      <c r="C44" s="1192"/>
      <c r="D44" s="1192"/>
      <c r="E44" s="250"/>
      <c r="F44" s="250"/>
      <c r="G44" s="250"/>
      <c r="H44" s="250"/>
      <c r="I44" s="250"/>
    </row>
    <row r="45" spans="1:9" ht="12.75" hidden="1">
      <c r="A45" s="1192"/>
      <c r="B45" s="1192"/>
      <c r="C45" s="1192"/>
      <c r="E45" s="266"/>
      <c r="F45" s="266"/>
      <c r="G45" s="266"/>
      <c r="H45" s="266"/>
      <c r="I45" s="266"/>
    </row>
    <row r="46" spans="4:9" ht="12.75" hidden="1">
      <c r="D46" s="266">
        <v>0</v>
      </c>
      <c r="E46" s="266"/>
      <c r="F46" s="266"/>
      <c r="G46" s="266"/>
      <c r="H46" s="266"/>
      <c r="I46" s="266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="85" zoomScaleNormal="85" workbookViewId="0" topLeftCell="A8">
      <selection activeCell="F27" sqref="F27"/>
    </sheetView>
  </sheetViews>
  <sheetFormatPr defaultColWidth="9.140625" defaultRowHeight="12.75"/>
  <cols>
    <col min="1" max="1" width="47.8515625" style="10" bestFit="1" customWidth="1"/>
    <col min="2" max="2" width="19.8515625" style="10" customWidth="1"/>
    <col min="3" max="3" width="18.57421875" style="10" customWidth="1"/>
    <col min="4" max="4" width="20.57421875" style="10" customWidth="1"/>
    <col min="5" max="5" width="19.57421875" style="10" customWidth="1"/>
    <col min="6" max="6" width="19.421875" style="10" customWidth="1"/>
    <col min="7" max="7" width="18.421875" style="10" hidden="1" customWidth="1"/>
    <col min="8" max="8" width="43.57421875" style="10" bestFit="1" customWidth="1"/>
    <col min="9" max="9" width="21.8515625" style="10" customWidth="1"/>
    <col min="10" max="10" width="18.28125" style="10" customWidth="1"/>
    <col min="11" max="11" width="18.421875" style="10" customWidth="1"/>
    <col min="12" max="12" width="19.28125" style="10" customWidth="1"/>
    <col min="13" max="13" width="18.421875" style="10" customWidth="1"/>
    <col min="14" max="14" width="19.00390625" style="10" hidden="1" customWidth="1"/>
    <col min="15" max="15" width="13.28125" style="10" customWidth="1"/>
    <col min="16" max="16384" width="9.140625" style="10" customWidth="1"/>
  </cols>
  <sheetData>
    <row r="1" spans="8:13" ht="12.75">
      <c r="H1" s="1181" t="s">
        <v>548</v>
      </c>
      <c r="I1" s="1181"/>
      <c r="J1" s="1181"/>
      <c r="K1" s="1181"/>
      <c r="L1" s="1181"/>
      <c r="M1" s="1181"/>
    </row>
    <row r="2" spans="1:9" ht="19.5">
      <c r="A2" s="1178" t="s">
        <v>19</v>
      </c>
      <c r="B2" s="1178"/>
      <c r="C2" s="1178"/>
      <c r="D2" s="1178"/>
      <c r="E2" s="1178"/>
      <c r="F2" s="1178"/>
      <c r="G2" s="1178"/>
      <c r="H2" s="1178"/>
      <c r="I2" s="1178"/>
    </row>
    <row r="3" spans="1:9" ht="11.25" customHeight="1">
      <c r="A3" s="37"/>
      <c r="B3" s="37"/>
      <c r="C3" s="37"/>
      <c r="D3" s="37"/>
      <c r="E3" s="37"/>
      <c r="F3" s="37"/>
      <c r="G3" s="37"/>
      <c r="H3" s="37"/>
      <c r="I3" s="36" t="s">
        <v>446</v>
      </c>
    </row>
    <row r="4" spans="1:9" ht="17.25" customHeight="1" thickBot="1">
      <c r="A4" s="1179" t="s">
        <v>197</v>
      </c>
      <c r="B4" s="1180"/>
      <c r="C4" s="1180"/>
      <c r="D4" s="1180"/>
      <c r="E4" s="1180"/>
      <c r="F4" s="1180"/>
      <c r="G4" s="1180"/>
      <c r="H4" s="1179"/>
      <c r="I4" s="1180"/>
    </row>
    <row r="5" spans="1:14" ht="33" customHeight="1" thickBot="1">
      <c r="A5" s="270" t="s">
        <v>6</v>
      </c>
      <c r="B5" s="340" t="s">
        <v>228</v>
      </c>
      <c r="C5" s="341" t="s">
        <v>226</v>
      </c>
      <c r="D5" s="341" t="s">
        <v>229</v>
      </c>
      <c r="E5" s="341" t="s">
        <v>231</v>
      </c>
      <c r="F5" s="341" t="s">
        <v>243</v>
      </c>
      <c r="G5" s="342" t="s">
        <v>248</v>
      </c>
      <c r="H5" s="310" t="s">
        <v>7</v>
      </c>
      <c r="I5" s="340" t="s">
        <v>228</v>
      </c>
      <c r="J5" s="341" t="s">
        <v>226</v>
      </c>
      <c r="K5" s="341" t="s">
        <v>229</v>
      </c>
      <c r="L5" s="341" t="s">
        <v>231</v>
      </c>
      <c r="M5" s="341" t="s">
        <v>243</v>
      </c>
      <c r="N5" s="342" t="s">
        <v>248</v>
      </c>
    </row>
    <row r="6" spans="1:14" ht="12.75">
      <c r="A6" s="272" t="s">
        <v>327</v>
      </c>
      <c r="B6" s="343">
        <f>'3.sz.m Önk  bev.'!E7</f>
        <v>194460000</v>
      </c>
      <c r="C6" s="343">
        <f>'3.sz.m Önk  bev.'!F7</f>
        <v>194672400</v>
      </c>
      <c r="D6" s="343">
        <f>'3.sz.m Önk  bev.'!G7</f>
        <v>194672400</v>
      </c>
      <c r="E6" s="343">
        <f>'3.sz.m Önk  bev.'!H7</f>
        <v>194672400</v>
      </c>
      <c r="F6" s="343">
        <f>'3.sz.m Önk  bev.'!I7</f>
        <v>231132621</v>
      </c>
      <c r="G6" s="343">
        <f>'3.sz.m Önk  bev.'!J7</f>
        <v>0</v>
      </c>
      <c r="H6" s="329" t="s">
        <v>173</v>
      </c>
      <c r="I6" s="351">
        <f>'4.sz.m.ÖNK kiadás'!E7+'5.1 sz. m Köz Hiv'!D35+'5.2 sz. m ÁMK'!D38+'üres lap'!D27</f>
        <v>213636935</v>
      </c>
      <c r="J6" s="351">
        <f>'4.sz.m.ÖNK kiadás'!F7+'5.1 sz. m Köz Hiv'!E35+'5.2 sz. m ÁMK'!E38+'üres lap'!E27</f>
        <v>219380672</v>
      </c>
      <c r="K6" s="351">
        <f>'4.sz.m.ÖNK kiadás'!G7+'5.1 sz. m Köz Hiv'!F35+'5.2 sz. m ÁMK'!F38+'üres lap'!F27</f>
        <v>221446716</v>
      </c>
      <c r="L6" s="351">
        <f>'4.sz.m.ÖNK kiadás'!H7+'5.1 sz. m Köz Hiv'!G35+'5.2 sz. m ÁMK'!G38+'üres lap'!G27</f>
        <v>221995772</v>
      </c>
      <c r="M6" s="351">
        <f>'4.sz.m.ÖNK kiadás'!I7+'5.1 sz. m Köz Hiv'!H35+'5.2 sz. m ÁMK'!H38+'üres lap'!H27</f>
        <v>223595404</v>
      </c>
      <c r="N6" s="351">
        <f>'4.sz.m.ÖNK kiadás'!J7+'5.1 sz. m Köz Hiv'!I35+'5.2 sz. m ÁMK'!I38+'üres lap'!I27</f>
        <v>0</v>
      </c>
    </row>
    <row r="7" spans="1:14" ht="12.75">
      <c r="A7" s="273" t="s">
        <v>328</v>
      </c>
      <c r="B7" s="344">
        <f>'3.sz.m Önk  bev.'!E21+'5.1 sz. m Köz Hiv'!D9+'5.2 sz. m ÁMK'!D9</f>
        <v>72113054</v>
      </c>
      <c r="C7" s="344">
        <f>'3.sz.m Önk  bev.'!F21+'5.1 sz. m Köz Hiv'!E9+'5.2 sz. m ÁMK'!E9</f>
        <v>66248820</v>
      </c>
      <c r="D7" s="344">
        <f>'3.sz.m Önk  bev.'!G21+'5.1 sz. m Köz Hiv'!F9+'5.2 sz. m ÁMK'!F9</f>
        <v>63049091</v>
      </c>
      <c r="E7" s="344">
        <f>'3.sz.m Önk  bev.'!H21+'5.1 sz. m Köz Hiv'!G9+'5.2 sz. m ÁMK'!G9</f>
        <v>75868670</v>
      </c>
      <c r="F7" s="344">
        <f>'3.sz.m Önk  bev.'!I21+'5.1 sz. m Köz Hiv'!H9+'5.2 sz. m ÁMK'!H9</f>
        <v>71492628</v>
      </c>
      <c r="G7" s="344">
        <f>'3.sz.m Önk  bev.'!J21+'5.1 sz. m Köz Hiv'!I9+'5.2 sz. m ÁMK'!I9</f>
        <v>0</v>
      </c>
      <c r="H7" s="330" t="s">
        <v>174</v>
      </c>
      <c r="I7" s="344">
        <f>'4.sz.m.ÖNK kiadás'!E8+'5.1 sz. m Köz Hiv'!D36+'5.2 sz. m ÁMK'!D39+'üres lap'!D28</f>
        <v>41839351</v>
      </c>
      <c r="J7" s="344">
        <f>'4.sz.m.ÖNK kiadás'!F8+'5.1 sz. m Köz Hiv'!E36+'5.2 sz. m ÁMK'!E39+'üres lap'!E28</f>
        <v>43053247</v>
      </c>
      <c r="K7" s="344">
        <f>'4.sz.m.ÖNK kiadás'!G8+'5.1 sz. m Köz Hiv'!F36+'5.2 sz. m ÁMK'!F39+'üres lap'!F28</f>
        <v>43460332</v>
      </c>
      <c r="L7" s="344">
        <f>'4.sz.m.ÖNK kiadás'!H8+'5.1 sz. m Köz Hiv'!G36+'5.2 sz. m ÁMK'!G39+'üres lap'!G28</f>
        <v>43551332</v>
      </c>
      <c r="M7" s="344">
        <f>'4.sz.m.ÖNK kiadás'!I8+'5.1 sz. m Köz Hiv'!H36+'5.2 sz. m ÁMK'!H39+'üres lap'!H28</f>
        <v>43833653</v>
      </c>
      <c r="N7" s="344">
        <f>'4.sz.m.ÖNK kiadás'!J8+'5.1 sz. m Köz Hiv'!I36+'5.2 sz. m ÁMK'!I39+'üres lap'!I28</f>
        <v>0</v>
      </c>
    </row>
    <row r="8" spans="1:14" ht="25.5">
      <c r="A8" s="273" t="s">
        <v>329</v>
      </c>
      <c r="B8" s="344">
        <f>'3.sz.m Önk  bev.'!E32+'5.1 sz. m Köz Hiv'!D15+'5.2 sz. m ÁMK'!D18</f>
        <v>340241503</v>
      </c>
      <c r="C8" s="344">
        <f>'3.sz.m Önk  bev.'!F32+'5.1 sz. m Köz Hiv'!E15+'5.2 sz. m ÁMK'!E18</f>
        <v>346150839</v>
      </c>
      <c r="D8" s="344">
        <f>'3.sz.m Önk  bev.'!G32+'5.1 sz. m Köz Hiv'!F15+'5.2 sz. m ÁMK'!F18</f>
        <v>352570336</v>
      </c>
      <c r="E8" s="344">
        <f>'3.sz.m Önk  bev.'!H32+'5.1 sz. m Köz Hiv'!G15+'5.2 sz. m ÁMK'!G18</f>
        <v>369807385</v>
      </c>
      <c r="F8" s="344">
        <f>'3.sz.m Önk  bev.'!I32+'5.1 sz. m Köz Hiv'!H15+'5.2 sz. m ÁMK'!H18</f>
        <v>389603362</v>
      </c>
      <c r="G8" s="344">
        <f>'3.sz.m Önk  bev.'!J32+'5.1 sz. m Köz Hiv'!I15+'5.2 sz. m ÁMK'!I18</f>
        <v>0</v>
      </c>
      <c r="H8" s="330" t="s">
        <v>175</v>
      </c>
      <c r="I8" s="344">
        <f>'4.sz.m.ÖNK kiadás'!E9+'5.1 sz. m Köz Hiv'!D37+'5.2 sz. m ÁMK'!D40+'üres lap'!D29</f>
        <v>178212404</v>
      </c>
      <c r="J8" s="344">
        <f>'4.sz.m.ÖNK kiadás'!F9+'5.1 sz. m Köz Hiv'!E37+'5.2 sz. m ÁMK'!E40+'üres lap'!E29</f>
        <v>178569404</v>
      </c>
      <c r="K8" s="344">
        <f>'4.sz.m.ÖNK kiadás'!G9+'5.1 sz. m Köz Hiv'!F37+'5.2 sz. m ÁMK'!F40+'üres lap'!F29</f>
        <v>190390147</v>
      </c>
      <c r="L8" s="344">
        <f>'4.sz.m.ÖNK kiadás'!H9+'5.1 sz. m Köz Hiv'!G37+'5.2 sz. m ÁMK'!G40+'üres lap'!G29</f>
        <v>195932191</v>
      </c>
      <c r="M8" s="344">
        <f>'4.sz.m.ÖNK kiadás'!I9+'5.1 sz. m Köz Hiv'!H37+'5.2 sz. m ÁMK'!H40+'üres lap'!H29</f>
        <v>314973356</v>
      </c>
      <c r="N8" s="344">
        <f>'4.sz.m.ÖNK kiadás'!J9+'5.1 sz. m Köz Hiv'!I37+'5.2 sz. m ÁMK'!I40+'üres lap'!I29</f>
        <v>0</v>
      </c>
    </row>
    <row r="9" spans="1:14" ht="12.75">
      <c r="A9" s="273" t="s">
        <v>330</v>
      </c>
      <c r="B9" s="344">
        <f>'3.sz.m Önk  bev.'!E50+'5.1 sz. m Köz Hiv'!D21+'5.2 sz. m ÁMK'!D24</f>
        <v>60000</v>
      </c>
      <c r="C9" s="344">
        <f>'3.sz.m Önk  bev.'!F50+'5.1 sz. m Köz Hiv'!E21+'5.2 sz. m ÁMK'!E24</f>
        <v>75000</v>
      </c>
      <c r="D9" s="344">
        <f>'3.sz.m Önk  bev.'!G50+'5.1 sz. m Köz Hiv'!F21+'5.2 sz. m ÁMK'!F24</f>
        <v>120000</v>
      </c>
      <c r="E9" s="344">
        <f>'3.sz.m Önk  bev.'!H50+'5.1 sz. m Köz Hiv'!G21+'5.2 sz. m ÁMK'!G24</f>
        <v>160000</v>
      </c>
      <c r="F9" s="344">
        <f>'3.sz.m Önk  bev.'!I50+'5.1 sz. m Köz Hiv'!H21+'5.2 sz. m ÁMK'!H24</f>
        <v>160000</v>
      </c>
      <c r="G9" s="344">
        <f>'3.sz.m Önk  bev.'!J50+'5.1 sz. m Köz Hiv'!I21+'5.2 sz. m ÁMK'!I24</f>
        <v>0</v>
      </c>
      <c r="H9" s="330" t="s">
        <v>176</v>
      </c>
      <c r="I9" s="344">
        <f>'4.sz.m.ÖNK kiadás'!E10+'5.1 sz. m Köz Hiv'!D38+'5.2 sz. m ÁMK'!D41+'üres lap'!D30</f>
        <v>2250000</v>
      </c>
      <c r="J9" s="344">
        <f>'4.sz.m.ÖNK kiadás'!F10+'5.1 sz. m Köz Hiv'!E38+'5.2 sz. m ÁMK'!E41+'üres lap'!E30</f>
        <v>2250000</v>
      </c>
      <c r="K9" s="344">
        <f>'4.sz.m.ÖNK kiadás'!G10+'5.1 sz. m Köz Hiv'!F38+'5.2 sz. m ÁMK'!F41+'üres lap'!F30</f>
        <v>2250000</v>
      </c>
      <c r="L9" s="344">
        <f>'4.sz.m.ÖNK kiadás'!H10+'5.1 sz. m Köz Hiv'!G38+'5.2 sz. m ÁMK'!G41+'üres lap'!G30</f>
        <v>3370000</v>
      </c>
      <c r="M9" s="344">
        <f>'4.sz.m.ÖNK kiadás'!I10+'5.1 sz. m Köz Hiv'!H38+'5.2 sz. m ÁMK'!H41+'üres lap'!H30</f>
        <v>3370000</v>
      </c>
      <c r="N9" s="344">
        <f>'4.sz.m.ÖNK kiadás'!J10+'5.1 sz. m Köz Hiv'!I38+'5.2 sz. m ÁMK'!I41+'üres lap'!I30</f>
        <v>0</v>
      </c>
    </row>
    <row r="10" spans="1:15" ht="12.75">
      <c r="A10" s="273"/>
      <c r="B10" s="344"/>
      <c r="C10" s="344"/>
      <c r="D10" s="344"/>
      <c r="E10" s="344"/>
      <c r="F10" s="344"/>
      <c r="G10" s="344"/>
      <c r="H10" s="330" t="s">
        <v>177</v>
      </c>
      <c r="I10" s="344">
        <f>'4.sz.m.ÖNK kiadás'!E11+'5.1 sz. m Köz Hiv'!D39+'5.2 sz. m ÁMK'!D42+'üres lap'!D31</f>
        <v>153992396</v>
      </c>
      <c r="J10" s="344">
        <f>'4.sz.m.ÖNK kiadás'!F11+'5.1 sz. m Köz Hiv'!E39+'5.2 sz. m ÁMK'!E42+'üres lap'!E31</f>
        <v>154179573</v>
      </c>
      <c r="K10" s="344">
        <f>'4.sz.m.ÖNK kiadás'!G11+'5.1 sz. m Köz Hiv'!F39+'5.2 sz. m ÁMK'!F42+'üres lap'!F31</f>
        <v>154389573</v>
      </c>
      <c r="L10" s="344">
        <f>'4.sz.m.ÖNK kiadás'!H11+'5.1 sz. m Köz Hiv'!G39+'5.2 sz. m ÁMK'!G42+'üres lap'!G31</f>
        <v>156389573</v>
      </c>
      <c r="M10" s="344">
        <f>'4.sz.m.ÖNK kiadás'!I11+'5.1 sz. m Köz Hiv'!H39+'5.2 sz. m ÁMK'!H42+'üres lap'!H31</f>
        <v>150627072</v>
      </c>
      <c r="N10" s="344">
        <f>'4.sz.m.ÖNK kiadás'!J11+'5.1 sz. m Köz Hiv'!I39+'5.2 sz. m ÁMK'!I42+'üres lap'!I31</f>
        <v>0</v>
      </c>
      <c r="O10" s="19"/>
    </row>
    <row r="11" spans="1:14" ht="12.75">
      <c r="A11" s="273"/>
      <c r="B11" s="344"/>
      <c r="C11" s="344"/>
      <c r="D11" s="344"/>
      <c r="E11" s="344"/>
      <c r="F11" s="344"/>
      <c r="G11" s="344"/>
      <c r="H11" s="330" t="s">
        <v>178</v>
      </c>
      <c r="I11" s="344">
        <f>'4.sz.m.ÖNK kiadás'!E25</f>
        <v>86768299</v>
      </c>
      <c r="J11" s="344">
        <f>'4.sz.m.ÖNK kiadás'!F25</f>
        <v>79038902</v>
      </c>
      <c r="K11" s="344">
        <f>'4.sz.m.ÖNK kiadás'!G25</f>
        <v>67762298</v>
      </c>
      <c r="L11" s="344">
        <f>'4.sz.m.ÖNK kiadás'!H25</f>
        <v>66635603</v>
      </c>
      <c r="M11" s="344">
        <f>'4.sz.m.ÖNK kiadás'!I25</f>
        <v>0</v>
      </c>
      <c r="N11" s="344">
        <f>'4.sz.m.ÖNK kiadás'!J25</f>
        <v>0</v>
      </c>
    </row>
    <row r="12" spans="1:14" ht="12.75" hidden="1">
      <c r="A12" s="274"/>
      <c r="B12" s="345"/>
      <c r="C12" s="345"/>
      <c r="D12" s="345"/>
      <c r="E12" s="345"/>
      <c r="F12" s="345"/>
      <c r="G12" s="345"/>
      <c r="H12" s="331"/>
      <c r="I12" s="345"/>
      <c r="J12" s="345"/>
      <c r="K12" s="345"/>
      <c r="L12" s="345"/>
      <c r="M12" s="345"/>
      <c r="N12" s="345"/>
    </row>
    <row r="13" spans="1:14" ht="16.5" customHeight="1" hidden="1" thickBot="1">
      <c r="A13" s="275"/>
      <c r="B13" s="346"/>
      <c r="C13" s="346"/>
      <c r="D13" s="346"/>
      <c r="E13" s="346"/>
      <c r="F13" s="346"/>
      <c r="G13" s="346"/>
      <c r="H13" s="332"/>
      <c r="I13" s="346"/>
      <c r="J13" s="346"/>
      <c r="K13" s="346"/>
      <c r="L13" s="346"/>
      <c r="M13" s="346"/>
      <c r="N13" s="346"/>
    </row>
    <row r="14" spans="1:14" ht="24" customHeight="1" thickBot="1">
      <c r="A14" s="276" t="s">
        <v>180</v>
      </c>
      <c r="B14" s="347">
        <f aca="true" t="shared" si="0" ref="B14:G14">SUM(B6:B9)</f>
        <v>606874557</v>
      </c>
      <c r="C14" s="347">
        <f>SUM(C6:C9)</f>
        <v>607147059</v>
      </c>
      <c r="D14" s="347">
        <f>SUM(D6:D9)</f>
        <v>610411827</v>
      </c>
      <c r="E14" s="347">
        <f>SUM(E6:E9)</f>
        <v>640508455</v>
      </c>
      <c r="F14" s="347">
        <f t="shared" si="0"/>
        <v>692388611</v>
      </c>
      <c r="G14" s="347">
        <f t="shared" si="0"/>
        <v>0</v>
      </c>
      <c r="H14" s="506" t="s">
        <v>181</v>
      </c>
      <c r="I14" s="347">
        <f aca="true" t="shared" si="1" ref="I14:N14">SUM(I6:I13)</f>
        <v>676699385</v>
      </c>
      <c r="J14" s="347">
        <f>SUM(J6:J13)</f>
        <v>676471798</v>
      </c>
      <c r="K14" s="347">
        <f>SUM(K6:K13)</f>
        <v>679699066</v>
      </c>
      <c r="L14" s="347">
        <f>SUM(L6:L13)</f>
        <v>687874471</v>
      </c>
      <c r="M14" s="347">
        <f t="shared" si="1"/>
        <v>736399485</v>
      </c>
      <c r="N14" s="347">
        <f t="shared" si="1"/>
        <v>0</v>
      </c>
    </row>
    <row r="15" spans="1:14" ht="18.75" customHeight="1">
      <c r="A15" s="277" t="s">
        <v>454</v>
      </c>
      <c r="B15" s="271">
        <f>'3.sz.m Önk  bev.'!E59+'5.1 sz. m Köz Hiv'!D26+'5.2 sz. m ÁMK'!D29-B27</f>
        <v>120716004</v>
      </c>
      <c r="C15" s="271">
        <f>'3.sz.m Önk  bev.'!F59+'5.1 sz. m Köz Hiv'!E26+'5.2 sz. m ÁMK'!E29-C27</f>
        <v>120716004</v>
      </c>
      <c r="D15" s="271">
        <f>'3.sz.m Önk  bev.'!G59+'5.1 sz. m Köz Hiv'!F26+'5.2 sz. m ÁMK'!F29-D27</f>
        <v>120716004</v>
      </c>
      <c r="E15" s="271">
        <f>'3.sz.m Önk  bev.'!H59+'5.1 sz. m Köz Hiv'!G26+'5.2 sz. m ÁMK'!G29-E27</f>
        <v>120716004</v>
      </c>
      <c r="F15" s="271">
        <f>'3.sz.m Önk  bev.'!I59+'5.1 sz. m Köz Hiv'!H26+'5.2 sz. m ÁMK'!H29-F27</f>
        <v>120716004</v>
      </c>
      <c r="G15" s="271">
        <f>'3.sz.m Önk  bev.'!J59+'5.1 sz. m Köz Hiv'!I26+'5.2 sz. m ÁMK'!I29-G27</f>
        <v>0</v>
      </c>
      <c r="H15" s="329" t="s">
        <v>460</v>
      </c>
      <c r="I15" s="343">
        <f>'4.sz.m.ÖNK kiadás'!E34</f>
        <v>0</v>
      </c>
      <c r="J15" s="343">
        <f>'4.sz.m.ÖNK kiadás'!F34</f>
        <v>0</v>
      </c>
      <c r="K15" s="343">
        <f>'4.sz.m.ÖNK kiadás'!G34</f>
        <v>0</v>
      </c>
      <c r="L15" s="343">
        <f>'4.sz.m.ÖNK kiadás'!H34</f>
        <v>0</v>
      </c>
      <c r="M15" s="343">
        <f>'4.sz.m.ÖNK kiadás'!I34</f>
        <v>0</v>
      </c>
      <c r="N15" s="343">
        <f>'4.sz.m.ÖNK kiadás'!J34</f>
        <v>0</v>
      </c>
    </row>
    <row r="16" spans="1:14" ht="18.75" customHeight="1">
      <c r="A16" s="277" t="s">
        <v>509</v>
      </c>
      <c r="B16" s="840">
        <f>'3.sz.m Önk  bev.'!E58</f>
        <v>0</v>
      </c>
      <c r="C16" s="840">
        <f>'3.sz.m Önk  bev.'!F58</f>
        <v>0</v>
      </c>
      <c r="D16" s="840">
        <f>'3.sz.m Önk  bev.'!G58</f>
        <v>0</v>
      </c>
      <c r="E16" s="840">
        <f>'3.sz.m Önk  bev.'!H58</f>
        <v>0</v>
      </c>
      <c r="F16" s="840">
        <f>'3.sz.m Önk  bev.'!I58</f>
        <v>0</v>
      </c>
      <c r="G16" s="840">
        <f>'3.sz.m Önk  bev.'!J58</f>
        <v>0</v>
      </c>
      <c r="H16" s="331" t="s">
        <v>429</v>
      </c>
      <c r="I16" s="345">
        <f>'4.sz.m.ÖNK kiadás'!E36</f>
        <v>10312557</v>
      </c>
      <c r="J16" s="345">
        <f>'4.sz.m.ÖNK kiadás'!F36</f>
        <v>10312557</v>
      </c>
      <c r="K16" s="345">
        <f>'4.sz.m.ÖNK kiadás'!G36</f>
        <v>10312557</v>
      </c>
      <c r="L16" s="345">
        <f>'4.sz.m.ÖNK kiadás'!H36</f>
        <v>10312557</v>
      </c>
      <c r="M16" s="345">
        <f>'4.sz.m.ÖNK kiadás'!I36</f>
        <v>10312557</v>
      </c>
      <c r="N16" s="345">
        <f>'4.sz.m.ÖNK kiadás'!J36</f>
        <v>0</v>
      </c>
    </row>
    <row r="17" spans="1:14" ht="15" customHeight="1" thickBot="1">
      <c r="A17" s="278" t="s">
        <v>443</v>
      </c>
      <c r="B17" s="348"/>
      <c r="C17" s="348"/>
      <c r="D17" s="348"/>
      <c r="E17" s="348"/>
      <c r="F17" s="348"/>
      <c r="G17" s="348">
        <f>'3.sz.m Önk  bev.'!J57</f>
        <v>0</v>
      </c>
      <c r="H17" s="331"/>
      <c r="I17" s="345"/>
      <c r="J17" s="345"/>
      <c r="K17" s="345"/>
      <c r="L17" s="345"/>
      <c r="M17" s="345"/>
      <c r="N17" s="345"/>
    </row>
    <row r="18" spans="1:14" ht="25.5" customHeight="1" thickBot="1">
      <c r="A18" s="279" t="s">
        <v>185</v>
      </c>
      <c r="B18" s="349">
        <f aca="true" t="shared" si="2" ref="B18:G18">SUM(B15:B17)</f>
        <v>120716004</v>
      </c>
      <c r="C18" s="349">
        <f>SUM(C15:C17)</f>
        <v>120716004</v>
      </c>
      <c r="D18" s="349">
        <f>SUM(D15:D17)</f>
        <v>120716004</v>
      </c>
      <c r="E18" s="349">
        <f>SUM(E15:E17)</f>
        <v>120716004</v>
      </c>
      <c r="F18" s="349">
        <f t="shared" si="2"/>
        <v>120716004</v>
      </c>
      <c r="G18" s="349">
        <f t="shared" si="2"/>
        <v>0</v>
      </c>
      <c r="H18" s="333" t="s">
        <v>192</v>
      </c>
      <c r="I18" s="349">
        <f aca="true" t="shared" si="3" ref="I18:N18">SUM(I15:I17)</f>
        <v>10312557</v>
      </c>
      <c r="J18" s="349">
        <f>SUM(J15:J17)</f>
        <v>10312557</v>
      </c>
      <c r="K18" s="349">
        <f>SUM(K15:K17)</f>
        <v>10312557</v>
      </c>
      <c r="L18" s="349">
        <f>SUM(L15:L17)</f>
        <v>10312557</v>
      </c>
      <c r="M18" s="349">
        <f t="shared" si="3"/>
        <v>10312557</v>
      </c>
      <c r="N18" s="349">
        <f t="shared" si="3"/>
        <v>0</v>
      </c>
    </row>
    <row r="19" spans="1:14" ht="22.5" customHeight="1" thickBot="1">
      <c r="A19" s="280" t="s">
        <v>166</v>
      </c>
      <c r="B19" s="350">
        <f aca="true" t="shared" si="4" ref="B19:G19">B14+B18</f>
        <v>727590561</v>
      </c>
      <c r="C19" s="350">
        <f>C14+C18</f>
        <v>727863063</v>
      </c>
      <c r="D19" s="350">
        <f>D14+D18</f>
        <v>731127831</v>
      </c>
      <c r="E19" s="350">
        <f>E14+E18</f>
        <v>761224459</v>
      </c>
      <c r="F19" s="350">
        <f t="shared" si="4"/>
        <v>813104615</v>
      </c>
      <c r="G19" s="350">
        <f t="shared" si="4"/>
        <v>0</v>
      </c>
      <c r="H19" s="334" t="s">
        <v>167</v>
      </c>
      <c r="I19" s="350">
        <f aca="true" t="shared" si="5" ref="I19:N19">I14+I18</f>
        <v>687011942</v>
      </c>
      <c r="J19" s="350">
        <f>J14+J18</f>
        <v>686784355</v>
      </c>
      <c r="K19" s="350">
        <f>K14+K18</f>
        <v>690011623</v>
      </c>
      <c r="L19" s="350">
        <f>L14+L18</f>
        <v>698187028</v>
      </c>
      <c r="M19" s="350">
        <f t="shared" si="5"/>
        <v>746712042</v>
      </c>
      <c r="N19" s="350">
        <f t="shared" si="5"/>
        <v>0</v>
      </c>
    </row>
    <row r="20" spans="1:12" ht="22.5" customHeight="1" thickBot="1">
      <c r="A20" s="1179" t="s">
        <v>198</v>
      </c>
      <c r="B20" s="1180"/>
      <c r="C20" s="1180"/>
      <c r="D20" s="1180"/>
      <c r="E20" s="1180"/>
      <c r="F20" s="1180"/>
      <c r="G20" s="1180"/>
      <c r="H20" s="1179"/>
      <c r="I20" s="1180"/>
      <c r="J20" s="19"/>
      <c r="K20" s="19"/>
      <c r="L20" s="19"/>
    </row>
    <row r="21" spans="1:16" ht="25.5">
      <c r="A21" s="272" t="s">
        <v>168</v>
      </c>
      <c r="B21" s="351">
        <f>'3.sz.m Önk  bev.'!E41</f>
        <v>20360661</v>
      </c>
      <c r="C21" s="351">
        <f>'3.sz.m Önk  bev.'!F41</f>
        <v>20360661</v>
      </c>
      <c r="D21" s="351">
        <f>'3.sz.m Önk  bev.'!G41</f>
        <v>20360661</v>
      </c>
      <c r="E21" s="351">
        <f>'3.sz.m Önk  bev.'!H41</f>
        <v>111544661</v>
      </c>
      <c r="F21" s="351">
        <f>'3.sz.m Önk  bev.'!I41+'5.1 sz. m Köz Hiv'!H18+'5.2 sz. m ÁMK'!H21</f>
        <v>146373972</v>
      </c>
      <c r="G21" s="351">
        <f>'3.sz.m Önk  bev.'!J41+'5.1 sz. m Köz Hiv'!I18+'5.2 sz. m ÁMK'!I21</f>
        <v>0</v>
      </c>
      <c r="H21" s="335" t="s">
        <v>170</v>
      </c>
      <c r="I21" s="351">
        <f>'4.sz.m.ÖNK kiadás'!E18+'5.1 sz. m Köz Hiv'!D41+'5.2 sz. m ÁMK'!D44</f>
        <v>47648344</v>
      </c>
      <c r="J21" s="351">
        <f>'4.sz.m.ÖNK kiadás'!F18+'5.1 sz. m Köz Hiv'!E41+'5.2 sz. m ÁMK'!E44</f>
        <v>48148344</v>
      </c>
      <c r="K21" s="351">
        <f>'4.sz.m.ÖNK kiadás'!G18+'5.1 sz. m Köz Hiv'!F41+'5.2 sz. m ÁMK'!F44</f>
        <v>48185844</v>
      </c>
      <c r="L21" s="351">
        <f>'4.sz.m.ÖNK kiadás'!H18+'5.1 sz. m Köz Hiv'!G41+'5.2 sz. m ÁMK'!G44</f>
        <v>84350467</v>
      </c>
      <c r="M21" s="351">
        <f>'4.sz.m.ÖNK kiadás'!I18+'5.1 sz. m Köz Hiv'!H41+'5.2 sz. m ÁMK'!H44</f>
        <v>91838718</v>
      </c>
      <c r="N21" s="351">
        <f>'4.sz.m.ÖNK kiadás'!J18+'5.1 sz. m Köz Hiv'!I41+'5.2 sz. m ÁMK'!I44</f>
        <v>0</v>
      </c>
      <c r="O21" s="19"/>
      <c r="P21" s="19"/>
    </row>
    <row r="22" spans="1:15" ht="25.5">
      <c r="A22" s="273" t="s">
        <v>462</v>
      </c>
      <c r="B22" s="344">
        <v>0</v>
      </c>
      <c r="C22" s="344">
        <f>+'3.sz.m Önk  bev.'!F51</f>
        <v>0</v>
      </c>
      <c r="D22" s="344">
        <f>+'3.sz.m Önk  bev.'!G51</f>
        <v>0</v>
      </c>
      <c r="E22" s="344">
        <f>+'3.sz.m Önk  bev.'!H51</f>
        <v>100000</v>
      </c>
      <c r="F22" s="344">
        <f>'3.sz.m Önk  bev.'!I51</f>
        <v>100000</v>
      </c>
      <c r="G22" s="344">
        <f>'3.sz.m Önk  bev.'!J51</f>
        <v>0</v>
      </c>
      <c r="H22" s="330" t="s">
        <v>171</v>
      </c>
      <c r="I22" s="344">
        <f>'4.sz.m.ÖNK kiadás'!E19</f>
        <v>75804348</v>
      </c>
      <c r="J22" s="344">
        <f>'4.sz.m.ÖNK kiadás'!F19</f>
        <v>75804348</v>
      </c>
      <c r="K22" s="344">
        <f>'4.sz.m.ÖNK kiadás'!G19</f>
        <v>75804348</v>
      </c>
      <c r="L22" s="344">
        <f>'4.sz.m.ÖNK kiadás'!H19</f>
        <v>151989948</v>
      </c>
      <c r="M22" s="344">
        <f>'4.sz.m.ÖNK kiadás'!I19+'5.2 sz. m ÁMK'!H46</f>
        <v>193651237</v>
      </c>
      <c r="N22" s="344">
        <f>'4.sz.m.ÖNK kiadás'!J19+'5.2 sz. m ÁMK'!I46</f>
        <v>0</v>
      </c>
      <c r="O22" s="19"/>
    </row>
    <row r="23" spans="1:14" ht="12.75">
      <c r="A23" s="273" t="s">
        <v>169</v>
      </c>
      <c r="B23" s="344">
        <f>'3.sz.m Önk  bev.'!E53</f>
        <v>0</v>
      </c>
      <c r="C23" s="344">
        <f>'3.sz.m Önk  bev.'!F53</f>
        <v>0</v>
      </c>
      <c r="D23" s="344">
        <f>'3.sz.m Önk  bev.'!G53</f>
        <v>0</v>
      </c>
      <c r="E23" s="344">
        <f>'3.sz.m Önk  bev.'!H53</f>
        <v>0</v>
      </c>
      <c r="F23" s="344">
        <f>'3.sz.m Önk  bev.'!I52</f>
        <v>472441</v>
      </c>
      <c r="G23" s="344">
        <f>'3.sz.m Önk  bev.'!J52</f>
        <v>0</v>
      </c>
      <c r="H23" s="330" t="s">
        <v>172</v>
      </c>
      <c r="I23" s="344">
        <f>'4.sz.m.ÖNK kiadás'!E20</f>
        <v>6700000</v>
      </c>
      <c r="J23" s="344">
        <f>'4.sz.m.ÖNK kiadás'!F20</f>
        <v>6700089</v>
      </c>
      <c r="K23" s="344">
        <f>'4.sz.m.ÖNK kiadás'!G20</f>
        <v>6700089</v>
      </c>
      <c r="L23" s="344">
        <f>'4.sz.m.ÖNK kiadás'!H20</f>
        <v>7555089</v>
      </c>
      <c r="M23" s="344">
        <f>'4.sz.m.ÖNK kiadás'!I20</f>
        <v>7975089</v>
      </c>
      <c r="N23" s="344">
        <f>'4.sz.m.ÖNK kiadás'!J20</f>
        <v>0</v>
      </c>
    </row>
    <row r="24" spans="1:15" ht="13.5" thickBot="1">
      <c r="A24" s="273"/>
      <c r="B24" s="344"/>
      <c r="C24" s="344"/>
      <c r="D24" s="344"/>
      <c r="E24" s="344"/>
      <c r="F24" s="344"/>
      <c r="G24" s="344"/>
      <c r="H24" s="330" t="s">
        <v>179</v>
      </c>
      <c r="I24" s="344"/>
      <c r="J24" s="344"/>
      <c r="K24" s="344"/>
      <c r="L24" s="344"/>
      <c r="M24" s="344"/>
      <c r="N24" s="344"/>
      <c r="O24" s="19"/>
    </row>
    <row r="25" spans="1:14" ht="13.5" hidden="1" thickBot="1">
      <c r="A25" s="282"/>
      <c r="B25" s="345"/>
      <c r="C25" s="345"/>
      <c r="D25" s="345"/>
      <c r="E25" s="345"/>
      <c r="F25" s="345"/>
      <c r="G25" s="345"/>
      <c r="H25" s="331"/>
      <c r="I25" s="345"/>
      <c r="J25" s="345"/>
      <c r="K25" s="345"/>
      <c r="L25" s="345"/>
      <c r="M25" s="345"/>
      <c r="N25" s="345"/>
    </row>
    <row r="26" spans="1:14" ht="13.5" thickBot="1">
      <c r="A26" s="283" t="s">
        <v>183</v>
      </c>
      <c r="B26" s="350">
        <f aca="true" t="shared" si="6" ref="B26:G26">SUM(B21:B24)</f>
        <v>20360661</v>
      </c>
      <c r="C26" s="350">
        <f>SUM(C21:C24)</f>
        <v>20360661</v>
      </c>
      <c r="D26" s="350">
        <f>SUM(D21:D24)</f>
        <v>20360661</v>
      </c>
      <c r="E26" s="350">
        <f>SUM(E21:E24)</f>
        <v>111644661</v>
      </c>
      <c r="F26" s="350">
        <f t="shared" si="6"/>
        <v>146946413</v>
      </c>
      <c r="G26" s="350">
        <f t="shared" si="6"/>
        <v>0</v>
      </c>
      <c r="H26" s="336" t="s">
        <v>182</v>
      </c>
      <c r="I26" s="355">
        <f aca="true" t="shared" si="7" ref="I26:N26">SUM(I21:I25)</f>
        <v>130152692</v>
      </c>
      <c r="J26" s="355">
        <f>SUM(J21:J25)</f>
        <v>130652781</v>
      </c>
      <c r="K26" s="355">
        <f>SUM(K21:K25)</f>
        <v>130690281</v>
      </c>
      <c r="L26" s="355">
        <f>SUM(L21:L25)</f>
        <v>243895504</v>
      </c>
      <c r="M26" s="355">
        <f t="shared" si="7"/>
        <v>293465044</v>
      </c>
      <c r="N26" s="355">
        <f t="shared" si="7"/>
        <v>0</v>
      </c>
    </row>
    <row r="27" spans="1:14" ht="15" customHeight="1">
      <c r="A27" s="277" t="s">
        <v>454</v>
      </c>
      <c r="B27" s="343">
        <f>7415444+32313072+9563541+22189156</f>
        <v>71481213</v>
      </c>
      <c r="C27" s="343">
        <f>7415444+32313072+9563541+22189156</f>
        <v>71481213</v>
      </c>
      <c r="D27" s="343">
        <f>7415444+32313072+9563541+22189156</f>
        <v>71481213</v>
      </c>
      <c r="E27" s="343">
        <f>7415444+32313072+9563541+22189156</f>
        <v>71481213</v>
      </c>
      <c r="F27" s="343">
        <f>7415444+32313072+9563541+22189156</f>
        <v>71481213</v>
      </c>
      <c r="G27" s="343"/>
      <c r="H27" s="329" t="s">
        <v>184</v>
      </c>
      <c r="I27" s="343">
        <f>'4.sz.m.ÖNK kiadás'!E33</f>
        <v>2267801</v>
      </c>
      <c r="J27" s="343">
        <f>'4.sz.m.ÖNK kiadás'!F33</f>
        <v>2267801</v>
      </c>
      <c r="K27" s="343">
        <f>'4.sz.m.ÖNK kiadás'!G33</f>
        <v>2267801</v>
      </c>
      <c r="L27" s="343">
        <f>'4.sz.m.ÖNK kiadás'!H33</f>
        <v>2267801</v>
      </c>
      <c r="M27" s="343">
        <f>'4.sz.m.ÖNK kiadás'!I33</f>
        <v>2267801</v>
      </c>
      <c r="N27" s="343">
        <f>'4.sz.m.ÖNK kiadás'!J33</f>
        <v>0</v>
      </c>
    </row>
    <row r="28" spans="1:14" ht="13.5" thickBot="1">
      <c r="A28" s="278" t="s">
        <v>165</v>
      </c>
      <c r="B28" s="352">
        <f>'3.sz.m Önk  bev.'!E57</f>
        <v>0</v>
      </c>
      <c r="C28" s="352">
        <f>'3.sz.m Önk  bev.'!F57</f>
        <v>0</v>
      </c>
      <c r="D28" s="352">
        <f>'3.sz.m Önk  bev.'!G57</f>
        <v>0</v>
      </c>
      <c r="E28" s="352">
        <f>'3.sz.m Önk  bev.'!H57</f>
        <v>0</v>
      </c>
      <c r="F28" s="352">
        <f>'3.sz.m Önk  bev.'!I57</f>
        <v>10912646</v>
      </c>
      <c r="G28" s="352"/>
      <c r="H28" s="337" t="s">
        <v>459</v>
      </c>
      <c r="I28" s="345"/>
      <c r="J28" s="345"/>
      <c r="K28" s="345"/>
      <c r="L28" s="345"/>
      <c r="M28" s="345"/>
      <c r="N28" s="345"/>
    </row>
    <row r="29" spans="1:15" ht="25.5" customHeight="1" thickBot="1">
      <c r="A29" s="279" t="s">
        <v>186</v>
      </c>
      <c r="B29" s="349">
        <f aca="true" t="shared" si="8" ref="B29:G29">SUM(B27:B28)</f>
        <v>71481213</v>
      </c>
      <c r="C29" s="349">
        <f>SUM(C27:C28)</f>
        <v>71481213</v>
      </c>
      <c r="D29" s="349">
        <f>SUM(D27:D28)</f>
        <v>71481213</v>
      </c>
      <c r="E29" s="349">
        <f>SUM(E27:E28)</f>
        <v>71481213</v>
      </c>
      <c r="F29" s="349">
        <f t="shared" si="8"/>
        <v>82393859</v>
      </c>
      <c r="G29" s="349">
        <f t="shared" si="8"/>
        <v>0</v>
      </c>
      <c r="H29" s="336" t="s">
        <v>187</v>
      </c>
      <c r="I29" s="350">
        <f aca="true" t="shared" si="9" ref="I29:N29">SUM(I27:I28)</f>
        <v>2267801</v>
      </c>
      <c r="J29" s="350">
        <f>SUM(J27:J28)</f>
        <v>2267801</v>
      </c>
      <c r="K29" s="350">
        <f>SUM(K27:K28)</f>
        <v>2267801</v>
      </c>
      <c r="L29" s="350">
        <f>SUM(L27:L28)</f>
        <v>2267801</v>
      </c>
      <c r="M29" s="350">
        <f t="shared" si="9"/>
        <v>2267801</v>
      </c>
      <c r="N29" s="350">
        <f t="shared" si="9"/>
        <v>0</v>
      </c>
      <c r="O29" s="19"/>
    </row>
    <row r="30" spans="1:15" ht="26.25" customHeight="1" thickBot="1">
      <c r="A30" s="281" t="s">
        <v>188</v>
      </c>
      <c r="B30" s="350">
        <f aca="true" t="shared" si="10" ref="B30:G30">B26+B29</f>
        <v>91841874</v>
      </c>
      <c r="C30" s="350">
        <f>C26+C29</f>
        <v>91841874</v>
      </c>
      <c r="D30" s="350">
        <f>D26+D29</f>
        <v>91841874</v>
      </c>
      <c r="E30" s="350">
        <f>E26+E29</f>
        <v>183125874</v>
      </c>
      <c r="F30" s="350">
        <f t="shared" si="10"/>
        <v>229340272</v>
      </c>
      <c r="G30" s="350">
        <f t="shared" si="10"/>
        <v>0</v>
      </c>
      <c r="H30" s="338" t="s">
        <v>189</v>
      </c>
      <c r="I30" s="350">
        <f aca="true" t="shared" si="11" ref="I30:N30">I29+I26</f>
        <v>132420493</v>
      </c>
      <c r="J30" s="350">
        <f>J29+J26</f>
        <v>132920582</v>
      </c>
      <c r="K30" s="350">
        <f>K29+K26</f>
        <v>132958082</v>
      </c>
      <c r="L30" s="350">
        <f>L29+L26</f>
        <v>246163305</v>
      </c>
      <c r="M30" s="350">
        <f t="shared" si="11"/>
        <v>295732845</v>
      </c>
      <c r="N30" s="350">
        <f t="shared" si="11"/>
        <v>0</v>
      </c>
      <c r="O30" s="19"/>
    </row>
    <row r="31" spans="1:14" ht="26.25" customHeight="1" hidden="1" thickBot="1">
      <c r="A31" s="281" t="s">
        <v>238</v>
      </c>
      <c r="B31" s="353"/>
      <c r="C31" s="353"/>
      <c r="D31" s="353"/>
      <c r="E31" s="353"/>
      <c r="F31" s="353"/>
      <c r="G31" s="353"/>
      <c r="H31" s="338" t="s">
        <v>237</v>
      </c>
      <c r="I31" s="350"/>
      <c r="J31" s="350"/>
      <c r="K31" s="350"/>
      <c r="L31" s="350"/>
      <c r="M31" s="350"/>
      <c r="N31" s="350"/>
    </row>
    <row r="32" spans="1:14" ht="29.25" customHeight="1" thickBot="1">
      <c r="A32" s="284" t="s">
        <v>190</v>
      </c>
      <c r="B32" s="354">
        <f aca="true" t="shared" si="12" ref="B32:G32">B19+B30</f>
        <v>819432435</v>
      </c>
      <c r="C32" s="354">
        <f>C19+C30</f>
        <v>819704937</v>
      </c>
      <c r="D32" s="354">
        <f>D19+D30</f>
        <v>822969705</v>
      </c>
      <c r="E32" s="354">
        <f>E19+E30</f>
        <v>944350333</v>
      </c>
      <c r="F32" s="354">
        <f t="shared" si="12"/>
        <v>1042444887</v>
      </c>
      <c r="G32" s="354">
        <f t="shared" si="12"/>
        <v>0</v>
      </c>
      <c r="H32" s="339" t="s">
        <v>191</v>
      </c>
      <c r="I32" s="356">
        <f aca="true" t="shared" si="13" ref="I32:N32">I30+I19</f>
        <v>819432435</v>
      </c>
      <c r="J32" s="356">
        <f>J30+J19</f>
        <v>819704937</v>
      </c>
      <c r="K32" s="356">
        <f>K30+K19</f>
        <v>822969705</v>
      </c>
      <c r="L32" s="356">
        <f>L30+L19</f>
        <v>944350333</v>
      </c>
      <c r="M32" s="356">
        <f t="shared" si="13"/>
        <v>1042444887</v>
      </c>
      <c r="N32" s="356">
        <f t="shared" si="13"/>
        <v>0</v>
      </c>
    </row>
    <row r="34" spans="2:12" ht="12.75">
      <c r="B34" s="19"/>
      <c r="C34" s="19"/>
      <c r="D34" s="19"/>
      <c r="E34" s="19"/>
      <c r="F34" s="19"/>
      <c r="G34" s="19"/>
      <c r="I34" s="19"/>
      <c r="K34" s="19"/>
      <c r="L34" s="19"/>
    </row>
    <row r="35" spans="2:14" ht="12.75">
      <c r="B35" s="19"/>
      <c r="C35" s="19"/>
      <c r="E35" s="19"/>
      <c r="F35" s="19"/>
      <c r="L35" s="19"/>
      <c r="M35" s="19"/>
      <c r="N35" s="19"/>
    </row>
    <row r="36" spans="3:9" ht="12.75">
      <c r="C36" s="19"/>
      <c r="H36" s="19"/>
      <c r="I36" s="19"/>
    </row>
    <row r="37" ht="12.75">
      <c r="C37" s="19"/>
    </row>
    <row r="38" ht="12.75">
      <c r="C38" s="19"/>
    </row>
  </sheetData>
  <sheetProtection/>
  <mergeCells count="4">
    <mergeCell ref="A2:I2"/>
    <mergeCell ref="A20:I20"/>
    <mergeCell ref="A4:I4"/>
    <mergeCell ref="H1:M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61" r:id="rId1"/>
  <colBreaks count="1" manualBreakCount="1">
    <brk id="13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1"/>
  <sheetViews>
    <sheetView zoomScale="75" zoomScaleNormal="75" zoomScalePageLayoutView="0" workbookViewId="0" topLeftCell="A1">
      <selection activeCell="W62" activeCellId="1" sqref="P62 W62"/>
    </sheetView>
  </sheetViews>
  <sheetFormatPr defaultColWidth="9.140625" defaultRowHeight="12.75"/>
  <cols>
    <col min="1" max="2" width="5.7109375" style="55" customWidth="1"/>
    <col min="3" max="3" width="8.8515625" style="55" customWidth="1"/>
    <col min="4" max="4" width="56.00390625" style="12" bestFit="1" customWidth="1"/>
    <col min="5" max="5" width="22.57421875" style="267" customWidth="1"/>
    <col min="6" max="6" width="19.00390625" style="267" customWidth="1"/>
    <col min="7" max="7" width="17.421875" style="267" customWidth="1"/>
    <col min="8" max="9" width="17.8515625" style="267" customWidth="1"/>
    <col min="10" max="11" width="17.8515625" style="267" hidden="1" customWidth="1"/>
    <col min="12" max="16" width="17.8515625" style="267" customWidth="1"/>
    <col min="17" max="18" width="17.8515625" style="267" hidden="1" customWidth="1"/>
    <col min="19" max="19" width="17.8515625" style="268" customWidth="1"/>
    <col min="20" max="22" width="17.8515625" style="267" customWidth="1"/>
    <col min="23" max="23" width="17.8515625" style="268" customWidth="1"/>
    <col min="24" max="25" width="17.8515625" style="268" hidden="1" customWidth="1"/>
    <col min="26" max="26" width="17.8515625" style="268" customWidth="1"/>
    <col min="27" max="16384" width="9.140625" style="268" customWidth="1"/>
  </cols>
  <sheetData>
    <row r="1" spans="1:23" ht="12.75">
      <c r="A1" s="52"/>
      <c r="B1" s="52"/>
      <c r="C1" s="52"/>
      <c r="D1" s="53"/>
      <c r="S1" s="1182" t="s">
        <v>549</v>
      </c>
      <c r="T1" s="1182"/>
      <c r="U1" s="1182"/>
      <c r="V1" s="1182"/>
      <c r="W1" s="1182"/>
    </row>
    <row r="2" spans="1:20" ht="34.5" customHeight="1">
      <c r="A2" s="1137" t="s">
        <v>629</v>
      </c>
      <c r="B2" s="1137"/>
      <c r="C2" s="1137"/>
      <c r="D2" s="1137"/>
      <c r="E2" s="1137"/>
      <c r="F2" s="1137"/>
      <c r="G2" s="1137"/>
      <c r="H2" s="1137"/>
      <c r="I2" s="1137"/>
      <c r="J2" s="1137"/>
      <c r="K2" s="1137"/>
      <c r="L2" s="1137"/>
      <c r="M2" s="1137"/>
      <c r="N2" s="1137"/>
      <c r="O2" s="1137"/>
      <c r="P2" s="1137"/>
      <c r="Q2" s="1137"/>
      <c r="R2" s="1137"/>
      <c r="S2" s="1137"/>
      <c r="T2" s="198"/>
    </row>
    <row r="3" spans="1:19" ht="13.5" thickBot="1">
      <c r="A3" s="54"/>
      <c r="B3" s="54"/>
      <c r="C3" s="54"/>
      <c r="D3" s="50"/>
      <c r="L3" s="3"/>
      <c r="M3" s="3"/>
      <c r="N3" s="3"/>
      <c r="O3" s="3"/>
      <c r="P3" s="3"/>
      <c r="Q3" s="3"/>
      <c r="R3" s="3"/>
      <c r="S3" s="21" t="s">
        <v>446</v>
      </c>
    </row>
    <row r="4" spans="1:25" ht="45.75" customHeight="1" thickBot="1">
      <c r="A4" s="1138" t="s">
        <v>5</v>
      </c>
      <c r="B4" s="1139"/>
      <c r="C4" s="1139"/>
      <c r="D4" s="269" t="s">
        <v>8</v>
      </c>
      <c r="E4" s="1121" t="s">
        <v>4</v>
      </c>
      <c r="F4" s="1122"/>
      <c r="G4" s="1122"/>
      <c r="H4" s="1122"/>
      <c r="I4" s="1122"/>
      <c r="J4" s="1122"/>
      <c r="K4" s="1123"/>
      <c r="L4" s="1121" t="s">
        <v>60</v>
      </c>
      <c r="M4" s="1122"/>
      <c r="N4" s="1122"/>
      <c r="O4" s="1122"/>
      <c r="P4" s="1122"/>
      <c r="Q4" s="1122"/>
      <c r="R4" s="1123"/>
      <c r="S4" s="1121" t="s">
        <v>61</v>
      </c>
      <c r="T4" s="1122"/>
      <c r="U4" s="1122"/>
      <c r="V4" s="1122"/>
      <c r="W4" s="1122"/>
      <c r="X4" s="1122"/>
      <c r="Y4" s="1123"/>
    </row>
    <row r="5" spans="1:25" ht="45.75" customHeight="1" thickBot="1">
      <c r="A5" s="256"/>
      <c r="B5" s="257"/>
      <c r="C5" s="257"/>
      <c r="D5" s="269"/>
      <c r="E5" s="299" t="s">
        <v>64</v>
      </c>
      <c r="F5" s="300" t="s">
        <v>225</v>
      </c>
      <c r="G5" s="300" t="s">
        <v>230</v>
      </c>
      <c r="H5" s="300" t="s">
        <v>232</v>
      </c>
      <c r="I5" s="300" t="s">
        <v>436</v>
      </c>
      <c r="J5" s="300" t="s">
        <v>439</v>
      </c>
      <c r="K5" s="301" t="s">
        <v>433</v>
      </c>
      <c r="L5" s="299" t="s">
        <v>64</v>
      </c>
      <c r="M5" s="300" t="s">
        <v>225</v>
      </c>
      <c r="N5" s="300" t="s">
        <v>230</v>
      </c>
      <c r="O5" s="300" t="s">
        <v>232</v>
      </c>
      <c r="P5" s="300" t="s">
        <v>436</v>
      </c>
      <c r="Q5" s="300" t="s">
        <v>440</v>
      </c>
      <c r="R5" s="301" t="s">
        <v>433</v>
      </c>
      <c r="S5" s="299" t="s">
        <v>64</v>
      </c>
      <c r="T5" s="300" t="s">
        <v>225</v>
      </c>
      <c r="U5" s="300" t="s">
        <v>230</v>
      </c>
      <c r="V5" s="300" t="s">
        <v>232</v>
      </c>
      <c r="W5" s="300" t="s">
        <v>436</v>
      </c>
      <c r="X5" s="300" t="s">
        <v>440</v>
      </c>
      <c r="Y5" s="301" t="s">
        <v>433</v>
      </c>
    </row>
    <row r="6" spans="1:25" s="6" customFormat="1" ht="21.75" customHeight="1" thickBot="1">
      <c r="A6" s="65"/>
      <c r="B6" s="1120"/>
      <c r="C6" s="1120"/>
      <c r="D6" s="1120"/>
      <c r="E6" s="858"/>
      <c r="F6" s="859"/>
      <c r="G6" s="859"/>
      <c r="H6" s="859"/>
      <c r="I6" s="859"/>
      <c r="J6" s="859"/>
      <c r="K6" s="860"/>
      <c r="L6" s="858"/>
      <c r="M6" s="859"/>
      <c r="N6" s="859"/>
      <c r="O6" s="859"/>
      <c r="P6" s="859"/>
      <c r="Q6" s="859"/>
      <c r="R6" s="860"/>
      <c r="S6" s="858"/>
      <c r="T6" s="858"/>
      <c r="U6" s="859"/>
      <c r="V6" s="859"/>
      <c r="W6" s="859"/>
      <c r="X6" s="859"/>
      <c r="Y6" s="860"/>
    </row>
    <row r="7" spans="1:25" s="6" customFormat="1" ht="21.75" customHeight="1" thickBot="1">
      <c r="A7" s="65" t="s">
        <v>26</v>
      </c>
      <c r="B7" s="1120" t="s">
        <v>281</v>
      </c>
      <c r="C7" s="1120"/>
      <c r="D7" s="1120"/>
      <c r="E7" s="858">
        <f aca="true" t="shared" si="0" ref="E7:J7">E8+E13+E16+E17+E20</f>
        <v>194460000</v>
      </c>
      <c r="F7" s="858">
        <f t="shared" si="0"/>
        <v>194672400</v>
      </c>
      <c r="G7" s="858">
        <f t="shared" si="0"/>
        <v>194672400</v>
      </c>
      <c r="H7" s="858">
        <f t="shared" si="0"/>
        <v>194672400</v>
      </c>
      <c r="I7" s="858">
        <f t="shared" si="0"/>
        <v>231132621</v>
      </c>
      <c r="J7" s="859">
        <f t="shared" si="0"/>
        <v>0</v>
      </c>
      <c r="K7" s="861">
        <f>J7/I7</f>
        <v>0</v>
      </c>
      <c r="L7" s="859">
        <f aca="true" t="shared" si="1" ref="L7:R7">L8+L13+L16+L17+L20</f>
        <v>165173226</v>
      </c>
      <c r="M7" s="859">
        <f>M8+M13+M16+M17+M20</f>
        <v>165385626</v>
      </c>
      <c r="N7" s="859">
        <f>N8+N13+N16+N17+N20</f>
        <v>165175626</v>
      </c>
      <c r="O7" s="859">
        <f>O8+O13+O16+O17+O20</f>
        <v>163445626</v>
      </c>
      <c r="P7" s="859">
        <f>P8+P13+P16+P17+P20</f>
        <v>203631553</v>
      </c>
      <c r="Q7" s="859">
        <f t="shared" si="1"/>
        <v>-19769631</v>
      </c>
      <c r="R7" s="860">
        <f t="shared" si="1"/>
        <v>100000003.11931127</v>
      </c>
      <c r="S7" s="858">
        <f>S8+S13+S16</f>
        <v>29286774</v>
      </c>
      <c r="T7" s="858">
        <f>T8+T13+T16</f>
        <v>29286774</v>
      </c>
      <c r="U7" s="859">
        <f>U8+U13+U16</f>
        <v>29496774</v>
      </c>
      <c r="V7" s="859">
        <f>V8+V13+V16</f>
        <v>31226774</v>
      </c>
      <c r="W7" s="859">
        <f>W8+W13+W16</f>
        <v>27501068</v>
      </c>
      <c r="X7" s="859">
        <f>X8+X13+X16</f>
        <v>19769631</v>
      </c>
      <c r="Y7" s="861">
        <f>W7/V7</f>
        <v>0.8806887320476973</v>
      </c>
    </row>
    <row r="8" spans="1:25" ht="21.75" customHeight="1">
      <c r="A8" s="503"/>
      <c r="B8" s="200" t="s">
        <v>35</v>
      </c>
      <c r="C8" s="1128" t="s">
        <v>282</v>
      </c>
      <c r="D8" s="1128"/>
      <c r="E8" s="862">
        <f aca="true" t="shared" si="2" ref="E8:J8">SUM(E9:E12)</f>
        <v>19500000</v>
      </c>
      <c r="F8" s="862">
        <f t="shared" si="2"/>
        <v>19500000</v>
      </c>
      <c r="G8" s="862">
        <f t="shared" si="2"/>
        <v>19500000</v>
      </c>
      <c r="H8" s="862">
        <f t="shared" si="2"/>
        <v>19500000</v>
      </c>
      <c r="I8" s="862">
        <f t="shared" si="2"/>
        <v>19003963</v>
      </c>
      <c r="J8" s="862">
        <f t="shared" si="2"/>
        <v>0</v>
      </c>
      <c r="K8" s="864">
        <f>J8/I8</f>
        <v>0</v>
      </c>
      <c r="L8" s="863">
        <f aca="true" t="shared" si="3" ref="L8:R8">SUM(L9:L12)</f>
        <v>19500000</v>
      </c>
      <c r="M8" s="863">
        <f t="shared" si="3"/>
        <v>19500000</v>
      </c>
      <c r="N8" s="863">
        <f>SUM(N9:N12)</f>
        <v>19500000</v>
      </c>
      <c r="O8" s="863">
        <f>SUM(O9:O12)</f>
        <v>19500000</v>
      </c>
      <c r="P8" s="863">
        <f>SUM(P9:P12)</f>
        <v>19003963</v>
      </c>
      <c r="Q8" s="863">
        <f t="shared" si="3"/>
        <v>0</v>
      </c>
      <c r="R8" s="865">
        <f t="shared" si="3"/>
        <v>0</v>
      </c>
      <c r="S8" s="862">
        <v>0</v>
      </c>
      <c r="T8" s="862">
        <v>0</v>
      </c>
      <c r="U8" s="863">
        <v>0</v>
      </c>
      <c r="V8" s="863">
        <v>0</v>
      </c>
      <c r="W8" s="863">
        <v>0</v>
      </c>
      <c r="X8" s="863"/>
      <c r="Y8" s="864"/>
    </row>
    <row r="9" spans="1:25" ht="21.75" customHeight="1">
      <c r="A9" s="62"/>
      <c r="B9" s="58"/>
      <c r="C9" s="58" t="s">
        <v>287</v>
      </c>
      <c r="D9" s="201" t="s">
        <v>283</v>
      </c>
      <c r="E9" s="866">
        <v>0</v>
      </c>
      <c r="F9" s="866">
        <v>0</v>
      </c>
      <c r="G9" s="866">
        <v>0</v>
      </c>
      <c r="H9" s="866">
        <v>0</v>
      </c>
      <c r="I9" s="866">
        <v>0</v>
      </c>
      <c r="J9" s="867">
        <v>0</v>
      </c>
      <c r="K9" s="868"/>
      <c r="L9" s="867">
        <v>0</v>
      </c>
      <c r="M9" s="867">
        <v>0</v>
      </c>
      <c r="N9" s="867">
        <v>0</v>
      </c>
      <c r="O9" s="867">
        <v>0</v>
      </c>
      <c r="P9" s="867">
        <v>0</v>
      </c>
      <c r="Q9" s="867">
        <v>0</v>
      </c>
      <c r="R9" s="869">
        <v>0</v>
      </c>
      <c r="S9" s="866">
        <v>0</v>
      </c>
      <c r="T9" s="866">
        <v>0</v>
      </c>
      <c r="U9" s="867">
        <v>0</v>
      </c>
      <c r="V9" s="867">
        <v>0</v>
      </c>
      <c r="W9" s="867">
        <v>0</v>
      </c>
      <c r="X9" s="867"/>
      <c r="Y9" s="618"/>
    </row>
    <row r="10" spans="1:25" ht="21.75" customHeight="1" thickBot="1">
      <c r="A10" s="62"/>
      <c r="B10" s="58"/>
      <c r="C10" s="58" t="s">
        <v>288</v>
      </c>
      <c r="D10" s="201" t="s">
        <v>268</v>
      </c>
      <c r="E10" s="866">
        <v>0</v>
      </c>
      <c r="F10" s="866">
        <v>0</v>
      </c>
      <c r="G10" s="866">
        <v>0</v>
      </c>
      <c r="H10" s="866">
        <v>0</v>
      </c>
      <c r="I10" s="866">
        <v>0</v>
      </c>
      <c r="J10" s="867">
        <v>0</v>
      </c>
      <c r="K10" s="868"/>
      <c r="L10" s="867">
        <v>0</v>
      </c>
      <c r="M10" s="867">
        <v>0</v>
      </c>
      <c r="N10" s="867">
        <v>0</v>
      </c>
      <c r="O10" s="867">
        <v>0</v>
      </c>
      <c r="P10" s="867">
        <v>0</v>
      </c>
      <c r="Q10" s="867">
        <v>0</v>
      </c>
      <c r="R10" s="869">
        <v>0</v>
      </c>
      <c r="S10" s="866">
        <v>0</v>
      </c>
      <c r="T10" s="866">
        <v>0</v>
      </c>
      <c r="U10" s="867">
        <v>0</v>
      </c>
      <c r="V10" s="867">
        <v>0</v>
      </c>
      <c r="W10" s="867">
        <v>0</v>
      </c>
      <c r="X10" s="867"/>
      <c r="Y10" s="618"/>
    </row>
    <row r="11" spans="1:25" ht="21.75" customHeight="1">
      <c r="A11" s="62"/>
      <c r="B11" s="58"/>
      <c r="C11" s="58" t="s">
        <v>289</v>
      </c>
      <c r="D11" s="201" t="s">
        <v>267</v>
      </c>
      <c r="E11" s="866">
        <v>19500000</v>
      </c>
      <c r="F11" s="866">
        <v>19500000</v>
      </c>
      <c r="G11" s="866">
        <v>19500000</v>
      </c>
      <c r="H11" s="866">
        <v>19500000</v>
      </c>
      <c r="I11" s="866">
        <v>19003963</v>
      </c>
      <c r="J11" s="863"/>
      <c r="K11" s="868"/>
      <c r="L11" s="821">
        <f aca="true" t="shared" si="4" ref="L11:R11">E11</f>
        <v>19500000</v>
      </c>
      <c r="M11" s="821">
        <f t="shared" si="4"/>
        <v>19500000</v>
      </c>
      <c r="N11" s="821">
        <f t="shared" si="4"/>
        <v>19500000</v>
      </c>
      <c r="O11" s="821">
        <f t="shared" si="4"/>
        <v>19500000</v>
      </c>
      <c r="P11" s="821">
        <f t="shared" si="4"/>
        <v>19003963</v>
      </c>
      <c r="Q11" s="821">
        <f t="shared" si="4"/>
        <v>0</v>
      </c>
      <c r="R11" s="841">
        <f t="shared" si="4"/>
        <v>0</v>
      </c>
      <c r="S11" s="866">
        <v>0</v>
      </c>
      <c r="T11" s="866">
        <v>0</v>
      </c>
      <c r="U11" s="821">
        <v>0</v>
      </c>
      <c r="V11" s="821">
        <v>0</v>
      </c>
      <c r="W11" s="821">
        <v>0</v>
      </c>
      <c r="X11" s="867"/>
      <c r="Y11" s="618"/>
    </row>
    <row r="12" spans="1:35" ht="21.75" customHeight="1" hidden="1">
      <c r="A12" s="62"/>
      <c r="B12" s="58"/>
      <c r="C12" s="58"/>
      <c r="D12" s="201"/>
      <c r="E12" s="870"/>
      <c r="F12" s="870"/>
      <c r="G12" s="870"/>
      <c r="H12" s="870"/>
      <c r="I12" s="870"/>
      <c r="J12" s="871"/>
      <c r="K12" s="618" t="e">
        <f>J12/I12</f>
        <v>#DIV/0!</v>
      </c>
      <c r="L12" s="871"/>
      <c r="M12" s="871"/>
      <c r="N12" s="871"/>
      <c r="O12" s="871"/>
      <c r="P12" s="871"/>
      <c r="Q12" s="871"/>
      <c r="R12" s="872"/>
      <c r="S12" s="870"/>
      <c r="T12" s="870"/>
      <c r="U12" s="871"/>
      <c r="V12" s="871"/>
      <c r="W12" s="871"/>
      <c r="X12" s="871"/>
      <c r="Y12" s="618" t="e">
        <f>W12/V12</f>
        <v>#DIV/0!</v>
      </c>
      <c r="AI12" s="268" t="s">
        <v>241</v>
      </c>
    </row>
    <row r="13" spans="1:25" ht="21.75" customHeight="1">
      <c r="A13" s="62"/>
      <c r="B13" s="58" t="s">
        <v>36</v>
      </c>
      <c r="C13" s="1132" t="s">
        <v>284</v>
      </c>
      <c r="D13" s="1132"/>
      <c r="E13" s="870">
        <f aca="true" t="shared" si="5" ref="E13:J13">SUM(E14:E15)</f>
        <v>160000000</v>
      </c>
      <c r="F13" s="870">
        <f t="shared" si="5"/>
        <v>160000000</v>
      </c>
      <c r="G13" s="870">
        <f t="shared" si="5"/>
        <v>160000000</v>
      </c>
      <c r="H13" s="870">
        <f t="shared" si="5"/>
        <v>160000000</v>
      </c>
      <c r="I13" s="870">
        <f t="shared" si="5"/>
        <v>194946510</v>
      </c>
      <c r="J13" s="871">
        <f t="shared" si="5"/>
        <v>0</v>
      </c>
      <c r="K13" s="618">
        <f>J13/I13</f>
        <v>0</v>
      </c>
      <c r="L13" s="871">
        <f>SUM(L14:L15)</f>
        <v>130713226</v>
      </c>
      <c r="M13" s="871">
        <f>SUM(M14:M15)</f>
        <v>130713226</v>
      </c>
      <c r="N13" s="871">
        <f>SUM(N14:N15)</f>
        <v>130503226</v>
      </c>
      <c r="O13" s="871">
        <f>SUM(O14:O15)</f>
        <v>128773226</v>
      </c>
      <c r="P13" s="871">
        <f>SUM(P14:P15)</f>
        <v>167445442</v>
      </c>
      <c r="Q13" s="871">
        <f aca="true" t="shared" si="6" ref="Q13:X13">SUM(Q14:Q15)</f>
        <v>-19769631</v>
      </c>
      <c r="R13" s="872">
        <f t="shared" si="6"/>
        <v>100000001.11931127</v>
      </c>
      <c r="S13" s="870">
        <f t="shared" si="6"/>
        <v>29286774</v>
      </c>
      <c r="T13" s="870">
        <f>SUM(T14:T15)</f>
        <v>29286774</v>
      </c>
      <c r="U13" s="871">
        <f>SUM(U14:U15)</f>
        <v>29496774</v>
      </c>
      <c r="V13" s="871">
        <f>SUM(V14:V15)</f>
        <v>31226774</v>
      </c>
      <c r="W13" s="871">
        <f>SUM(W14:W15)</f>
        <v>27501068</v>
      </c>
      <c r="X13" s="871">
        <f t="shared" si="6"/>
        <v>19769631</v>
      </c>
      <c r="Y13" s="618">
        <f>W13/V13</f>
        <v>0.8806887320476973</v>
      </c>
    </row>
    <row r="14" spans="1:26" ht="21.75" customHeight="1">
      <c r="A14" s="62"/>
      <c r="B14" s="58"/>
      <c r="C14" s="58" t="s">
        <v>285</v>
      </c>
      <c r="D14" s="452" t="s">
        <v>492</v>
      </c>
      <c r="E14" s="866">
        <v>160000000</v>
      </c>
      <c r="F14" s="866">
        <v>160000000</v>
      </c>
      <c r="G14" s="866">
        <v>160000000</v>
      </c>
      <c r="H14" s="866">
        <v>160000000</v>
      </c>
      <c r="I14" s="866">
        <v>194946510</v>
      </c>
      <c r="J14" s="867"/>
      <c r="K14" s="868"/>
      <c r="L14" s="867">
        <f aca="true" t="shared" si="7" ref="L14:Q14">E14-S14</f>
        <v>130713226</v>
      </c>
      <c r="M14" s="867">
        <f t="shared" si="7"/>
        <v>130713226</v>
      </c>
      <c r="N14" s="867">
        <f t="shared" si="7"/>
        <v>130503226</v>
      </c>
      <c r="O14" s="867">
        <f t="shared" si="7"/>
        <v>128773226</v>
      </c>
      <c r="P14" s="867">
        <f t="shared" si="7"/>
        <v>167445442</v>
      </c>
      <c r="Q14" s="867">
        <f t="shared" si="7"/>
        <v>-19769631</v>
      </c>
      <c r="R14" s="869">
        <f>100000000-Y14</f>
        <v>99999999.11931127</v>
      </c>
      <c r="S14" s="866">
        <v>29286774</v>
      </c>
      <c r="T14" s="866">
        <v>29286774</v>
      </c>
      <c r="U14" s="867">
        <f>29286774+210000</f>
        <v>29496774</v>
      </c>
      <c r="V14" s="867">
        <f>29286774+210000+1730000</f>
        <v>31226774</v>
      </c>
      <c r="W14" s="867">
        <f>29286774+210000+1730000-3725706</f>
        <v>27501068</v>
      </c>
      <c r="X14" s="867">
        <v>19769631</v>
      </c>
      <c r="Y14" s="618">
        <f>W14/V14</f>
        <v>0.8806887320476973</v>
      </c>
      <c r="Z14" s="267">
        <f>+W62-'4.sz.m.ÖNK kiadás'!W39</f>
        <v>0</v>
      </c>
    </row>
    <row r="15" spans="1:25" ht="21.75" customHeight="1">
      <c r="A15" s="62"/>
      <c r="B15" s="58"/>
      <c r="C15" s="58" t="s">
        <v>286</v>
      </c>
      <c r="D15" s="452" t="s">
        <v>291</v>
      </c>
      <c r="E15" s="866"/>
      <c r="F15" s="866"/>
      <c r="G15" s="866"/>
      <c r="H15" s="866"/>
      <c r="I15" s="866"/>
      <c r="J15" s="867"/>
      <c r="K15" s="868"/>
      <c r="L15" s="867">
        <v>0</v>
      </c>
      <c r="M15" s="867">
        <v>0</v>
      </c>
      <c r="N15" s="867">
        <v>0</v>
      </c>
      <c r="O15" s="867">
        <v>0</v>
      </c>
      <c r="P15" s="867">
        <v>0</v>
      </c>
      <c r="Q15" s="867">
        <v>0</v>
      </c>
      <c r="R15" s="869">
        <v>2</v>
      </c>
      <c r="S15" s="866">
        <v>0</v>
      </c>
      <c r="T15" s="866">
        <v>0</v>
      </c>
      <c r="U15" s="867">
        <v>0</v>
      </c>
      <c r="V15" s="867">
        <v>0</v>
      </c>
      <c r="W15" s="867">
        <v>0</v>
      </c>
      <c r="X15" s="867"/>
      <c r="Y15" s="618"/>
    </row>
    <row r="16" spans="1:25" ht="21.75" customHeight="1">
      <c r="A16" s="62"/>
      <c r="B16" s="58" t="s">
        <v>112</v>
      </c>
      <c r="C16" s="1132" t="s">
        <v>292</v>
      </c>
      <c r="D16" s="1132"/>
      <c r="E16" s="866">
        <v>13900000</v>
      </c>
      <c r="F16" s="866">
        <v>13900000</v>
      </c>
      <c r="G16" s="866">
        <v>13900000</v>
      </c>
      <c r="H16" s="866">
        <v>13900000</v>
      </c>
      <c r="I16" s="866">
        <v>13973435</v>
      </c>
      <c r="J16" s="867"/>
      <c r="K16" s="868"/>
      <c r="L16" s="821">
        <f aca="true" t="shared" si="8" ref="L16:R16">E16</f>
        <v>13900000</v>
      </c>
      <c r="M16" s="821">
        <f t="shared" si="8"/>
        <v>13900000</v>
      </c>
      <c r="N16" s="821">
        <f t="shared" si="8"/>
        <v>13900000</v>
      </c>
      <c r="O16" s="821">
        <f t="shared" si="8"/>
        <v>13900000</v>
      </c>
      <c r="P16" s="821">
        <f t="shared" si="8"/>
        <v>13973435</v>
      </c>
      <c r="Q16" s="821">
        <f t="shared" si="8"/>
        <v>0</v>
      </c>
      <c r="R16" s="841">
        <f t="shared" si="8"/>
        <v>0</v>
      </c>
      <c r="S16" s="866">
        <v>0</v>
      </c>
      <c r="T16" s="866">
        <v>0</v>
      </c>
      <c r="U16" s="821">
        <v>0</v>
      </c>
      <c r="V16" s="821">
        <v>0</v>
      </c>
      <c r="W16" s="821">
        <v>0</v>
      </c>
      <c r="X16" s="867"/>
      <c r="Y16" s="618"/>
    </row>
    <row r="17" spans="1:25" ht="21.75" customHeight="1">
      <c r="A17" s="62"/>
      <c r="B17" s="58" t="s">
        <v>48</v>
      </c>
      <c r="C17" s="1133" t="s">
        <v>293</v>
      </c>
      <c r="D17" s="1133"/>
      <c r="E17" s="870">
        <f>SUM(E18:E19)</f>
        <v>0</v>
      </c>
      <c r="F17" s="870">
        <f>SUM(F18:F19)</f>
        <v>0</v>
      </c>
      <c r="G17" s="870">
        <f>SUM(G18:G19)</f>
        <v>0</v>
      </c>
      <c r="H17" s="870">
        <f>SUM(H18:H19)</f>
        <v>0</v>
      </c>
      <c r="I17" s="870">
        <f>SUM(I18:I19)</f>
        <v>0</v>
      </c>
      <c r="J17" s="871">
        <v>0</v>
      </c>
      <c r="K17" s="618" t="e">
        <f>J17/I17</f>
        <v>#DIV/0!</v>
      </c>
      <c r="L17" s="871">
        <v>0</v>
      </c>
      <c r="M17" s="871">
        <v>0</v>
      </c>
      <c r="N17" s="871">
        <v>0</v>
      </c>
      <c r="O17" s="871">
        <v>0</v>
      </c>
      <c r="P17" s="871">
        <v>0</v>
      </c>
      <c r="Q17" s="871">
        <v>0</v>
      </c>
      <c r="R17" s="872">
        <f>SUM(R18:R19)</f>
        <v>2</v>
      </c>
      <c r="S17" s="870">
        <v>0</v>
      </c>
      <c r="T17" s="870">
        <v>0</v>
      </c>
      <c r="U17" s="871">
        <v>0</v>
      </c>
      <c r="V17" s="871">
        <v>0</v>
      </c>
      <c r="W17" s="871">
        <v>0</v>
      </c>
      <c r="X17" s="871"/>
      <c r="Y17" s="618"/>
    </row>
    <row r="18" spans="1:25" ht="21.75" customHeight="1">
      <c r="A18" s="62"/>
      <c r="B18" s="58"/>
      <c r="C18" s="58" t="s">
        <v>294</v>
      </c>
      <c r="D18" s="452" t="s">
        <v>296</v>
      </c>
      <c r="E18" s="866">
        <v>0</v>
      </c>
      <c r="F18" s="866">
        <v>0</v>
      </c>
      <c r="G18" s="866">
        <v>0</v>
      </c>
      <c r="H18" s="866">
        <v>0</v>
      </c>
      <c r="I18" s="866">
        <v>0</v>
      </c>
      <c r="J18" s="867">
        <v>0</v>
      </c>
      <c r="K18" s="868"/>
      <c r="L18" s="867">
        <v>0</v>
      </c>
      <c r="M18" s="867">
        <v>0</v>
      </c>
      <c r="N18" s="867">
        <v>0</v>
      </c>
      <c r="O18" s="867">
        <v>0</v>
      </c>
      <c r="P18" s="867">
        <v>0</v>
      </c>
      <c r="Q18" s="867">
        <v>0</v>
      </c>
      <c r="R18" s="869">
        <v>2</v>
      </c>
      <c r="S18" s="866">
        <v>0</v>
      </c>
      <c r="T18" s="866">
        <v>0</v>
      </c>
      <c r="U18" s="867">
        <v>0</v>
      </c>
      <c r="V18" s="867">
        <v>0</v>
      </c>
      <c r="W18" s="867">
        <v>0</v>
      </c>
      <c r="X18" s="867"/>
      <c r="Y18" s="618"/>
    </row>
    <row r="19" spans="1:25" ht="21.75" customHeight="1" hidden="1">
      <c r="A19" s="62"/>
      <c r="B19" s="58"/>
      <c r="C19" s="58" t="s">
        <v>295</v>
      </c>
      <c r="D19" s="452" t="s">
        <v>269</v>
      </c>
      <c r="E19" s="866"/>
      <c r="F19" s="866"/>
      <c r="G19" s="866"/>
      <c r="H19" s="866"/>
      <c r="I19" s="866"/>
      <c r="J19" s="867"/>
      <c r="K19" s="868"/>
      <c r="L19" s="821">
        <f aca="true" t="shared" si="9" ref="L19:P20">E19</f>
        <v>0</v>
      </c>
      <c r="M19" s="821">
        <f t="shared" si="9"/>
        <v>0</v>
      </c>
      <c r="N19" s="821">
        <f t="shared" si="9"/>
        <v>0</v>
      </c>
      <c r="O19" s="821">
        <f t="shared" si="9"/>
        <v>0</v>
      </c>
      <c r="P19" s="821">
        <f t="shared" si="9"/>
        <v>0</v>
      </c>
      <c r="Q19" s="821">
        <f>J19</f>
        <v>0</v>
      </c>
      <c r="R19" s="841">
        <f>K19</f>
        <v>0</v>
      </c>
      <c r="S19" s="866">
        <v>0</v>
      </c>
      <c r="T19" s="866">
        <v>0</v>
      </c>
      <c r="U19" s="821">
        <v>0</v>
      </c>
      <c r="V19" s="821">
        <v>0</v>
      </c>
      <c r="W19" s="821">
        <v>0</v>
      </c>
      <c r="X19" s="867"/>
      <c r="Y19" s="618"/>
    </row>
    <row r="20" spans="1:25" ht="21.75" customHeight="1" thickBot="1">
      <c r="A20" s="365"/>
      <c r="B20" s="504" t="s">
        <v>49</v>
      </c>
      <c r="C20" s="1135" t="s">
        <v>297</v>
      </c>
      <c r="D20" s="1135"/>
      <c r="E20" s="873">
        <v>1060000</v>
      </c>
      <c r="F20" s="873">
        <v>1272400</v>
      </c>
      <c r="G20" s="873">
        <v>1272400</v>
      </c>
      <c r="H20" s="873">
        <v>1272400</v>
      </c>
      <c r="I20" s="873">
        <v>3208713</v>
      </c>
      <c r="J20" s="874"/>
      <c r="K20" s="875"/>
      <c r="L20" s="821">
        <f t="shared" si="9"/>
        <v>1060000</v>
      </c>
      <c r="M20" s="821">
        <f t="shared" si="9"/>
        <v>1272400</v>
      </c>
      <c r="N20" s="821">
        <f t="shared" si="9"/>
        <v>1272400</v>
      </c>
      <c r="O20" s="821">
        <f t="shared" si="9"/>
        <v>1272400</v>
      </c>
      <c r="P20" s="821">
        <f t="shared" si="9"/>
        <v>3208713</v>
      </c>
      <c r="Q20" s="821">
        <f>J20</f>
        <v>0</v>
      </c>
      <c r="R20" s="841">
        <f>K20</f>
        <v>0</v>
      </c>
      <c r="S20" s="873">
        <v>0</v>
      </c>
      <c r="T20" s="873">
        <v>0</v>
      </c>
      <c r="U20" s="821">
        <v>0</v>
      </c>
      <c r="V20" s="821">
        <v>0</v>
      </c>
      <c r="W20" s="821">
        <v>0</v>
      </c>
      <c r="X20" s="874"/>
      <c r="Y20" s="619"/>
    </row>
    <row r="21" spans="1:26" ht="21.75" customHeight="1" thickBot="1">
      <c r="A21" s="65" t="s">
        <v>298</v>
      </c>
      <c r="B21" s="1120" t="s">
        <v>299</v>
      </c>
      <c r="C21" s="1120"/>
      <c r="D21" s="1120"/>
      <c r="E21" s="858">
        <f aca="true" t="shared" si="10" ref="E21:J21">E22+E23+E24+E28+E29+E30+E31</f>
        <v>38739560</v>
      </c>
      <c r="F21" s="858">
        <f t="shared" si="10"/>
        <v>32830224</v>
      </c>
      <c r="G21" s="858">
        <f t="shared" si="10"/>
        <v>29518139</v>
      </c>
      <c r="H21" s="858">
        <f t="shared" si="10"/>
        <v>42299454</v>
      </c>
      <c r="I21" s="858">
        <f t="shared" si="10"/>
        <v>35523081</v>
      </c>
      <c r="J21" s="859">
        <f t="shared" si="10"/>
        <v>0</v>
      </c>
      <c r="K21" s="861">
        <f>J21/I21</f>
        <v>0</v>
      </c>
      <c r="L21" s="859">
        <f aca="true" t="shared" si="11" ref="L21:R21">L22+L23+L24+L28+L29+L30+L31</f>
        <v>38358560</v>
      </c>
      <c r="M21" s="859">
        <f t="shared" si="11"/>
        <v>32449224</v>
      </c>
      <c r="N21" s="859">
        <f>N22+N23+N24+N28+N29+N30+N31</f>
        <v>29137139</v>
      </c>
      <c r="O21" s="859">
        <f>O22+O23+O24+O28+O29+O30+O31</f>
        <v>41918454</v>
      </c>
      <c r="P21" s="859">
        <f>P22+P23+P24+P28+P29+P30+P31</f>
        <v>35325469</v>
      </c>
      <c r="Q21" s="859">
        <f t="shared" si="11"/>
        <v>-381000</v>
      </c>
      <c r="R21" s="860">
        <f t="shared" si="11"/>
        <v>4</v>
      </c>
      <c r="S21" s="858">
        <f>SUM(S22:S31)</f>
        <v>381000</v>
      </c>
      <c r="T21" s="858">
        <f>SUM(T22:T31)</f>
        <v>381000</v>
      </c>
      <c r="U21" s="859">
        <f>SUM(U22:U31)</f>
        <v>381000</v>
      </c>
      <c r="V21" s="859">
        <f>SUM(V22:V31)</f>
        <v>381000</v>
      </c>
      <c r="W21" s="859">
        <f>SUM(W22:W31)</f>
        <v>197612</v>
      </c>
      <c r="X21" s="859">
        <f>X22+X23+X24+X28+X29+X30+X31</f>
        <v>381000</v>
      </c>
      <c r="Y21" s="861">
        <f>W21/V21</f>
        <v>0.5186666666666667</v>
      </c>
      <c r="Z21" s="267"/>
    </row>
    <row r="22" spans="1:25" ht="21.75" customHeight="1">
      <c r="A22" s="63"/>
      <c r="B22" s="64" t="s">
        <v>38</v>
      </c>
      <c r="C22" s="1124" t="s">
        <v>300</v>
      </c>
      <c r="D22" s="1124"/>
      <c r="E22" s="876">
        <v>10388076</v>
      </c>
      <c r="F22" s="876">
        <v>10388076</v>
      </c>
      <c r="G22" s="876">
        <v>10388076</v>
      </c>
      <c r="H22" s="876">
        <v>10388076</v>
      </c>
      <c r="I22" s="876">
        <v>12550930</v>
      </c>
      <c r="J22" s="877"/>
      <c r="K22" s="868"/>
      <c r="L22" s="821">
        <f aca="true" t="shared" si="12" ref="L22:Q22">E22-S22</f>
        <v>10007076</v>
      </c>
      <c r="M22" s="821">
        <f t="shared" si="12"/>
        <v>10007076</v>
      </c>
      <c r="N22" s="821">
        <f t="shared" si="12"/>
        <v>10007076</v>
      </c>
      <c r="O22" s="821">
        <f t="shared" si="12"/>
        <v>10007076</v>
      </c>
      <c r="P22" s="821">
        <f t="shared" si="12"/>
        <v>12405930</v>
      </c>
      <c r="Q22" s="821">
        <f t="shared" si="12"/>
        <v>-300000</v>
      </c>
      <c r="R22" s="841">
        <f>K22</f>
        <v>0</v>
      </c>
      <c r="S22" s="876">
        <v>381000</v>
      </c>
      <c r="T22" s="876">
        <v>381000</v>
      </c>
      <c r="U22" s="821">
        <v>381000</v>
      </c>
      <c r="V22" s="821">
        <v>381000</v>
      </c>
      <c r="W22" s="1361">
        <v>145000</v>
      </c>
      <c r="X22" s="877">
        <v>300000</v>
      </c>
      <c r="Y22" s="620"/>
    </row>
    <row r="23" spans="1:25" ht="21.75" customHeight="1">
      <c r="A23" s="62"/>
      <c r="B23" s="58" t="s">
        <v>39</v>
      </c>
      <c r="C23" s="1112" t="s">
        <v>331</v>
      </c>
      <c r="D23" s="1112"/>
      <c r="E23" s="822">
        <v>3983000</v>
      </c>
      <c r="F23" s="822">
        <v>3983000</v>
      </c>
      <c r="G23" s="822">
        <v>3983000</v>
      </c>
      <c r="H23" s="822">
        <v>3983000</v>
      </c>
      <c r="I23" s="822">
        <v>4220826</v>
      </c>
      <c r="J23" s="823"/>
      <c r="K23" s="868"/>
      <c r="L23" s="821">
        <f aca="true" t="shared" si="13" ref="L23:Q23">E23</f>
        <v>3983000</v>
      </c>
      <c r="M23" s="821">
        <f t="shared" si="13"/>
        <v>3983000</v>
      </c>
      <c r="N23" s="821">
        <f t="shared" si="13"/>
        <v>3983000</v>
      </c>
      <c r="O23" s="821">
        <f t="shared" si="13"/>
        <v>3983000</v>
      </c>
      <c r="P23" s="821">
        <f>I23-W23</f>
        <v>4210226</v>
      </c>
      <c r="Q23" s="821">
        <f t="shared" si="13"/>
        <v>0</v>
      </c>
      <c r="R23" s="841">
        <f>K23</f>
        <v>0</v>
      </c>
      <c r="S23" s="822">
        <v>0</v>
      </c>
      <c r="T23" s="822">
        <v>0</v>
      </c>
      <c r="U23" s="821">
        <v>0</v>
      </c>
      <c r="V23" s="821">
        <v>0</v>
      </c>
      <c r="W23" s="821">
        <v>10600</v>
      </c>
      <c r="X23" s="823"/>
      <c r="Y23" s="605"/>
    </row>
    <row r="24" spans="1:25" ht="21.75" customHeight="1">
      <c r="A24" s="62"/>
      <c r="B24" s="58" t="s">
        <v>40</v>
      </c>
      <c r="C24" s="1112" t="s">
        <v>302</v>
      </c>
      <c r="D24" s="1112"/>
      <c r="E24" s="305">
        <f aca="true" t="shared" si="14" ref="E24:J24">SUM(E25:E27)</f>
        <v>1083712</v>
      </c>
      <c r="F24" s="305">
        <f t="shared" si="14"/>
        <v>1083712</v>
      </c>
      <c r="G24" s="305">
        <f t="shared" si="14"/>
        <v>1083712</v>
      </c>
      <c r="H24" s="305">
        <f t="shared" si="14"/>
        <v>1864426</v>
      </c>
      <c r="I24" s="305">
        <f t="shared" si="14"/>
        <v>1043112</v>
      </c>
      <c r="J24" s="240">
        <f t="shared" si="14"/>
        <v>0</v>
      </c>
      <c r="K24" s="618">
        <f>J24/I24</f>
        <v>0</v>
      </c>
      <c r="L24" s="240">
        <f aca="true" t="shared" si="15" ref="L24:R24">SUM(L25:L27)</f>
        <v>1083712</v>
      </c>
      <c r="M24" s="240">
        <f t="shared" si="15"/>
        <v>1083712</v>
      </c>
      <c r="N24" s="240">
        <f>SUM(N25:N27)</f>
        <v>1083712</v>
      </c>
      <c r="O24" s="240">
        <f>SUM(O25:O27)</f>
        <v>1864426</v>
      </c>
      <c r="P24" s="240">
        <f>SUM(P25:P27)</f>
        <v>1043112</v>
      </c>
      <c r="Q24" s="240">
        <f t="shared" si="15"/>
        <v>0</v>
      </c>
      <c r="R24" s="842">
        <f t="shared" si="15"/>
        <v>2</v>
      </c>
      <c r="S24" s="305">
        <v>0</v>
      </c>
      <c r="T24" s="305">
        <v>0</v>
      </c>
      <c r="U24" s="240">
        <v>0</v>
      </c>
      <c r="V24" s="240">
        <v>0</v>
      </c>
      <c r="W24" s="240">
        <v>0</v>
      </c>
      <c r="X24" s="240"/>
      <c r="Y24" s="605" t="e">
        <f>W24/V24</f>
        <v>#DIV/0!</v>
      </c>
    </row>
    <row r="25" spans="1:25" ht="21.75" customHeight="1">
      <c r="A25" s="62"/>
      <c r="B25" s="58"/>
      <c r="C25" s="58" t="s">
        <v>95</v>
      </c>
      <c r="D25" s="201" t="s">
        <v>303</v>
      </c>
      <c r="E25" s="822">
        <v>1083712</v>
      </c>
      <c r="F25" s="822">
        <v>1083712</v>
      </c>
      <c r="G25" s="822">
        <v>1083712</v>
      </c>
      <c r="H25" s="822">
        <v>1083712</v>
      </c>
      <c r="I25" s="822">
        <v>457576</v>
      </c>
      <c r="J25" s="823"/>
      <c r="K25" s="868"/>
      <c r="L25" s="821">
        <f aca="true" t="shared" si="16" ref="L25:P27">E25</f>
        <v>1083712</v>
      </c>
      <c r="M25" s="821">
        <f t="shared" si="16"/>
        <v>1083712</v>
      </c>
      <c r="N25" s="821">
        <f t="shared" si="16"/>
        <v>1083712</v>
      </c>
      <c r="O25" s="821">
        <f t="shared" si="16"/>
        <v>1083712</v>
      </c>
      <c r="P25" s="821">
        <f t="shared" si="16"/>
        <v>457576</v>
      </c>
      <c r="Q25" s="821">
        <f>J25</f>
        <v>0</v>
      </c>
      <c r="R25" s="841">
        <f aca="true" t="shared" si="17" ref="Q25:R27">K25</f>
        <v>0</v>
      </c>
      <c r="S25" s="822">
        <v>0</v>
      </c>
      <c r="T25" s="822">
        <v>0</v>
      </c>
      <c r="U25" s="821">
        <v>0</v>
      </c>
      <c r="V25" s="821">
        <v>0</v>
      </c>
      <c r="W25" s="821">
        <v>0</v>
      </c>
      <c r="X25" s="823"/>
      <c r="Y25" s="605" t="e">
        <f>W25/V25</f>
        <v>#DIV/0!</v>
      </c>
    </row>
    <row r="26" spans="1:25" ht="41.25" customHeight="1">
      <c r="A26" s="62"/>
      <c r="B26" s="58"/>
      <c r="C26" s="58" t="s">
        <v>96</v>
      </c>
      <c r="D26" s="201" t="s">
        <v>304</v>
      </c>
      <c r="E26" s="822"/>
      <c r="F26" s="822"/>
      <c r="G26" s="822"/>
      <c r="H26" s="822">
        <v>780714</v>
      </c>
      <c r="I26" s="822">
        <v>585536</v>
      </c>
      <c r="J26" s="823"/>
      <c r="K26" s="868"/>
      <c r="L26" s="821">
        <f t="shared" si="16"/>
        <v>0</v>
      </c>
      <c r="M26" s="821">
        <f t="shared" si="16"/>
        <v>0</v>
      </c>
      <c r="N26" s="821">
        <f t="shared" si="16"/>
        <v>0</v>
      </c>
      <c r="O26" s="821">
        <f t="shared" si="16"/>
        <v>780714</v>
      </c>
      <c r="P26" s="821">
        <f t="shared" si="16"/>
        <v>585536</v>
      </c>
      <c r="Q26" s="821">
        <f t="shared" si="17"/>
        <v>0</v>
      </c>
      <c r="R26" s="841">
        <f t="shared" si="17"/>
        <v>0</v>
      </c>
      <c r="S26" s="822">
        <v>0</v>
      </c>
      <c r="T26" s="822">
        <v>0</v>
      </c>
      <c r="U26" s="821">
        <v>0</v>
      </c>
      <c r="V26" s="821">
        <v>0</v>
      </c>
      <c r="W26" s="821">
        <v>0</v>
      </c>
      <c r="X26" s="823"/>
      <c r="Y26" s="605"/>
    </row>
    <row r="27" spans="1:25" ht="21.75" customHeight="1">
      <c r="A27" s="62"/>
      <c r="B27" s="58"/>
      <c r="C27" s="58" t="s">
        <v>97</v>
      </c>
      <c r="D27" s="201" t="s">
        <v>484</v>
      </c>
      <c r="E27" s="822"/>
      <c r="F27" s="822"/>
      <c r="G27" s="822"/>
      <c r="H27" s="822"/>
      <c r="I27" s="822"/>
      <c r="J27" s="823"/>
      <c r="K27" s="824"/>
      <c r="L27" s="821">
        <f t="shared" si="16"/>
        <v>0</v>
      </c>
      <c r="M27" s="821">
        <f t="shared" si="16"/>
        <v>0</v>
      </c>
      <c r="N27" s="821">
        <f t="shared" si="16"/>
        <v>0</v>
      </c>
      <c r="O27" s="821">
        <f t="shared" si="16"/>
        <v>0</v>
      </c>
      <c r="P27" s="821">
        <f t="shared" si="16"/>
        <v>0</v>
      </c>
      <c r="Q27" s="821">
        <f t="shared" si="17"/>
        <v>0</v>
      </c>
      <c r="R27" s="843">
        <v>2</v>
      </c>
      <c r="S27" s="822">
        <v>0</v>
      </c>
      <c r="T27" s="822">
        <v>0</v>
      </c>
      <c r="U27" s="821">
        <v>0</v>
      </c>
      <c r="V27" s="821">
        <v>0</v>
      </c>
      <c r="W27" s="821">
        <v>0</v>
      </c>
      <c r="X27" s="823"/>
      <c r="Y27" s="605"/>
    </row>
    <row r="28" spans="1:25" ht="21.75" customHeight="1">
      <c r="A28" s="62"/>
      <c r="B28" s="58" t="s">
        <v>270</v>
      </c>
      <c r="C28" s="1112" t="s">
        <v>305</v>
      </c>
      <c r="D28" s="1112"/>
      <c r="E28" s="822">
        <v>967410</v>
      </c>
      <c r="F28" s="822">
        <v>967410</v>
      </c>
      <c r="G28" s="822">
        <v>967410</v>
      </c>
      <c r="H28" s="822">
        <v>1178203</v>
      </c>
      <c r="I28" s="822">
        <v>1419681</v>
      </c>
      <c r="J28" s="823"/>
      <c r="K28" s="868"/>
      <c r="L28" s="821">
        <f aca="true" t="shared" si="18" ref="L28:P29">E28-S28</f>
        <v>967410</v>
      </c>
      <c r="M28" s="821">
        <f t="shared" si="18"/>
        <v>967410</v>
      </c>
      <c r="N28" s="821">
        <f t="shared" si="18"/>
        <v>967410</v>
      </c>
      <c r="O28" s="821">
        <f t="shared" si="18"/>
        <v>1178203</v>
      </c>
      <c r="P28" s="821">
        <f t="shared" si="18"/>
        <v>1377669</v>
      </c>
      <c r="Q28" s="821">
        <f>J28-X28</f>
        <v>-81000</v>
      </c>
      <c r="R28" s="841">
        <f>K28</f>
        <v>0</v>
      </c>
      <c r="S28" s="822">
        <v>0</v>
      </c>
      <c r="T28" s="822">
        <v>0</v>
      </c>
      <c r="U28" s="821">
        <v>0</v>
      </c>
      <c r="V28" s="821">
        <v>0</v>
      </c>
      <c r="W28" s="821">
        <v>42012</v>
      </c>
      <c r="X28" s="823">
        <v>81000</v>
      </c>
      <c r="Y28" s="605"/>
    </row>
    <row r="29" spans="1:25" ht="21.75" customHeight="1">
      <c r="A29" s="66"/>
      <c r="B29" s="67" t="s">
        <v>306</v>
      </c>
      <c r="C29" s="1112" t="s">
        <v>517</v>
      </c>
      <c r="D29" s="1112"/>
      <c r="E29" s="822"/>
      <c r="F29" s="822"/>
      <c r="G29" s="822"/>
      <c r="H29" s="822">
        <v>14788223</v>
      </c>
      <c r="I29" s="822">
        <v>14788223</v>
      </c>
      <c r="J29" s="823"/>
      <c r="K29" s="824"/>
      <c r="L29" s="821">
        <f t="shared" si="18"/>
        <v>0</v>
      </c>
      <c r="M29" s="821">
        <f t="shared" si="18"/>
        <v>0</v>
      </c>
      <c r="N29" s="821">
        <f t="shared" si="18"/>
        <v>0</v>
      </c>
      <c r="O29" s="821">
        <f t="shared" si="18"/>
        <v>14788223</v>
      </c>
      <c r="P29" s="821">
        <f t="shared" si="18"/>
        <v>14788223</v>
      </c>
      <c r="Q29" s="821">
        <f>J29-X29</f>
        <v>0</v>
      </c>
      <c r="R29" s="843">
        <v>2</v>
      </c>
      <c r="S29" s="822">
        <v>0</v>
      </c>
      <c r="T29" s="822">
        <v>0</v>
      </c>
      <c r="U29" s="821">
        <v>0</v>
      </c>
      <c r="V29" s="821">
        <v>0</v>
      </c>
      <c r="W29" s="821">
        <v>0</v>
      </c>
      <c r="X29" s="823"/>
      <c r="Y29" s="605"/>
    </row>
    <row r="30" spans="1:25" ht="21.75" customHeight="1">
      <c r="A30" s="66"/>
      <c r="B30" s="67" t="s">
        <v>307</v>
      </c>
      <c r="C30" s="1112" t="s">
        <v>308</v>
      </c>
      <c r="D30" s="1112"/>
      <c r="E30" s="822">
        <v>100000</v>
      </c>
      <c r="F30" s="822">
        <v>100000</v>
      </c>
      <c r="G30" s="822">
        <v>100000</v>
      </c>
      <c r="H30" s="822">
        <v>100000</v>
      </c>
      <c r="I30" s="822">
        <v>34274</v>
      </c>
      <c r="J30" s="823"/>
      <c r="K30" s="868"/>
      <c r="L30" s="821">
        <f aca="true" t="shared" si="19" ref="L30:P31">E30</f>
        <v>100000</v>
      </c>
      <c r="M30" s="821">
        <f t="shared" si="19"/>
        <v>100000</v>
      </c>
      <c r="N30" s="821">
        <f t="shared" si="19"/>
        <v>100000</v>
      </c>
      <c r="O30" s="821">
        <f t="shared" si="19"/>
        <v>100000</v>
      </c>
      <c r="P30" s="821">
        <f t="shared" si="19"/>
        <v>34274</v>
      </c>
      <c r="Q30" s="821">
        <f>J30</f>
        <v>0</v>
      </c>
      <c r="R30" s="841">
        <f>K30</f>
        <v>0</v>
      </c>
      <c r="S30" s="822">
        <v>0</v>
      </c>
      <c r="T30" s="822">
        <v>0</v>
      </c>
      <c r="U30" s="821">
        <v>0</v>
      </c>
      <c r="V30" s="821">
        <v>0</v>
      </c>
      <c r="W30" s="821">
        <v>0</v>
      </c>
      <c r="X30" s="823"/>
      <c r="Y30" s="605"/>
    </row>
    <row r="31" spans="1:25" ht="21.75" customHeight="1" thickBot="1">
      <c r="A31" s="66"/>
      <c r="B31" s="67" t="s">
        <v>68</v>
      </c>
      <c r="C31" s="1125" t="s">
        <v>69</v>
      </c>
      <c r="D31" s="1125"/>
      <c r="E31" s="822">
        <v>22217362</v>
      </c>
      <c r="F31" s="822">
        <v>16308026</v>
      </c>
      <c r="G31" s="822">
        <v>12995941</v>
      </c>
      <c r="H31" s="822">
        <v>9997526</v>
      </c>
      <c r="I31" s="822">
        <v>1466035</v>
      </c>
      <c r="J31" s="823"/>
      <c r="K31" s="868"/>
      <c r="L31" s="821">
        <f t="shared" si="19"/>
        <v>22217362</v>
      </c>
      <c r="M31" s="821">
        <f t="shared" si="19"/>
        <v>16308026</v>
      </c>
      <c r="N31" s="821">
        <f t="shared" si="19"/>
        <v>12995941</v>
      </c>
      <c r="O31" s="821">
        <f t="shared" si="19"/>
        <v>9997526</v>
      </c>
      <c r="P31" s="821">
        <f t="shared" si="19"/>
        <v>1466035</v>
      </c>
      <c r="Q31" s="821">
        <f>J31</f>
        <v>0</v>
      </c>
      <c r="R31" s="841">
        <f>K31</f>
        <v>0</v>
      </c>
      <c r="S31" s="822">
        <v>0</v>
      </c>
      <c r="T31" s="822">
        <v>0</v>
      </c>
      <c r="U31" s="821">
        <v>0</v>
      </c>
      <c r="V31" s="821">
        <v>0</v>
      </c>
      <c r="W31" s="821">
        <v>0</v>
      </c>
      <c r="X31" s="823"/>
      <c r="Y31" s="605"/>
    </row>
    <row r="32" spans="1:25" ht="21.75" customHeight="1" thickBot="1">
      <c r="A32" s="69" t="s">
        <v>9</v>
      </c>
      <c r="B32" s="1120" t="s">
        <v>309</v>
      </c>
      <c r="C32" s="1120"/>
      <c r="D32" s="1120"/>
      <c r="E32" s="297">
        <f aca="true" t="shared" si="20" ref="E32:J32">SUM(E33:E37)</f>
        <v>340241503</v>
      </c>
      <c r="F32" s="297">
        <f t="shared" si="20"/>
        <v>346150839</v>
      </c>
      <c r="G32" s="297">
        <f t="shared" si="20"/>
        <v>349587924</v>
      </c>
      <c r="H32" s="297">
        <f t="shared" si="20"/>
        <v>366795917</v>
      </c>
      <c r="I32" s="297">
        <f t="shared" si="20"/>
        <v>382253992</v>
      </c>
      <c r="J32" s="72">
        <f t="shared" si="20"/>
        <v>0</v>
      </c>
      <c r="K32" s="861">
        <f>J32/I32</f>
        <v>0</v>
      </c>
      <c r="L32" s="72">
        <f aca="true" t="shared" si="21" ref="L32:T32">SUM(L33:L37)</f>
        <v>291196675</v>
      </c>
      <c r="M32" s="72">
        <f t="shared" si="21"/>
        <v>297106011</v>
      </c>
      <c r="N32" s="72">
        <f>SUM(N33:N37)</f>
        <v>300543096</v>
      </c>
      <c r="O32" s="72">
        <f>SUM(O33:O37)</f>
        <v>317751089</v>
      </c>
      <c r="P32" s="72">
        <f>SUM(P33:P37)</f>
        <v>333209164</v>
      </c>
      <c r="Q32" s="72">
        <f t="shared" si="21"/>
        <v>0</v>
      </c>
      <c r="R32" s="706">
        <f t="shared" si="21"/>
        <v>2</v>
      </c>
      <c r="S32" s="72">
        <f t="shared" si="21"/>
        <v>49044828</v>
      </c>
      <c r="T32" s="72">
        <f t="shared" si="21"/>
        <v>49044828</v>
      </c>
      <c r="U32" s="72">
        <f>SUM(U33:U37)</f>
        <v>49044828</v>
      </c>
      <c r="V32" s="72">
        <f>SUM(V33:V37)</f>
        <v>49044828</v>
      </c>
      <c r="W32" s="72">
        <f>SUM(W33:W37)</f>
        <v>49044828</v>
      </c>
      <c r="X32" s="72"/>
      <c r="Y32" s="621"/>
    </row>
    <row r="33" spans="1:27" ht="21.75" customHeight="1">
      <c r="A33" s="63"/>
      <c r="B33" s="67" t="s">
        <v>41</v>
      </c>
      <c r="C33" s="1113" t="s">
        <v>310</v>
      </c>
      <c r="D33" s="1113"/>
      <c r="E33" s="827">
        <v>274627404</v>
      </c>
      <c r="F33" s="827">
        <f>80554999+45760667+145647367+5194247+3181090+198370</f>
        <v>280536740</v>
      </c>
      <c r="G33" s="827">
        <f>80988431+45760667+145647367+7852065+3306090+419205</f>
        <v>283973825</v>
      </c>
      <c r="H33" s="827">
        <f>83846172+46362483+150810029+10430747+3414090+565197</f>
        <v>295428718</v>
      </c>
      <c r="I33" s="827">
        <f>304713360-1943100</f>
        <v>302770260</v>
      </c>
      <c r="J33" s="828"/>
      <c r="K33" s="868"/>
      <c r="L33" s="821">
        <f aca="true" t="shared" si="22" ref="L33:P34">E33</f>
        <v>274627404</v>
      </c>
      <c r="M33" s="821">
        <f t="shared" si="22"/>
        <v>280536740</v>
      </c>
      <c r="N33" s="821">
        <f t="shared" si="22"/>
        <v>283973825</v>
      </c>
      <c r="O33" s="821">
        <f t="shared" si="22"/>
        <v>295428718</v>
      </c>
      <c r="P33" s="821">
        <f t="shared" si="22"/>
        <v>302770260</v>
      </c>
      <c r="Q33" s="821">
        <f>J33</f>
        <v>0</v>
      </c>
      <c r="R33" s="841">
        <f>K33</f>
        <v>0</v>
      </c>
      <c r="S33" s="827">
        <v>0</v>
      </c>
      <c r="T33" s="827">
        <v>0</v>
      </c>
      <c r="U33" s="821">
        <v>0</v>
      </c>
      <c r="V33" s="821">
        <v>0</v>
      </c>
      <c r="W33" s="821">
        <v>0</v>
      </c>
      <c r="X33" s="828"/>
      <c r="Y33" s="803"/>
      <c r="AA33" s="267"/>
    </row>
    <row r="34" spans="1:25" ht="21.75" customHeight="1">
      <c r="A34" s="62"/>
      <c r="B34" s="67" t="s">
        <v>42</v>
      </c>
      <c r="C34" s="1112" t="s">
        <v>479</v>
      </c>
      <c r="D34" s="1112"/>
      <c r="E34" s="822"/>
      <c r="F34" s="822"/>
      <c r="G34" s="822"/>
      <c r="H34" s="822">
        <v>1943100</v>
      </c>
      <c r="I34" s="822">
        <v>1943100</v>
      </c>
      <c r="J34" s="823"/>
      <c r="K34" s="868"/>
      <c r="L34" s="821">
        <f t="shared" si="22"/>
        <v>0</v>
      </c>
      <c r="M34" s="821">
        <f t="shared" si="22"/>
        <v>0</v>
      </c>
      <c r="N34" s="821">
        <f t="shared" si="22"/>
        <v>0</v>
      </c>
      <c r="O34" s="821">
        <f t="shared" si="22"/>
        <v>1943100</v>
      </c>
      <c r="P34" s="821">
        <f t="shared" si="22"/>
        <v>1943100</v>
      </c>
      <c r="Q34" s="821">
        <f>J34</f>
        <v>0</v>
      </c>
      <c r="R34" s="841">
        <f>K34</f>
        <v>0</v>
      </c>
      <c r="S34" s="822">
        <v>0</v>
      </c>
      <c r="T34" s="822">
        <v>0</v>
      </c>
      <c r="U34" s="821">
        <v>0</v>
      </c>
      <c r="V34" s="821">
        <v>0</v>
      </c>
      <c r="W34" s="821">
        <v>0</v>
      </c>
      <c r="X34" s="823"/>
      <c r="Y34" s="605"/>
    </row>
    <row r="35" spans="1:25" ht="21.75" customHeight="1">
      <c r="A35" s="62"/>
      <c r="B35" s="67" t="s">
        <v>66</v>
      </c>
      <c r="C35" s="1112" t="s">
        <v>606</v>
      </c>
      <c r="D35" s="1112"/>
      <c r="E35" s="822"/>
      <c r="F35" s="822"/>
      <c r="G35" s="822"/>
      <c r="H35" s="822"/>
      <c r="I35" s="822"/>
      <c r="J35" s="823">
        <v>0</v>
      </c>
      <c r="K35" s="868"/>
      <c r="L35" s="823">
        <v>0</v>
      </c>
      <c r="M35" s="821">
        <f>F35</f>
        <v>0</v>
      </c>
      <c r="N35" s="821">
        <f>G35</f>
        <v>0</v>
      </c>
      <c r="O35" s="821">
        <f>H35</f>
        <v>0</v>
      </c>
      <c r="P35" s="821">
        <f>I35</f>
        <v>0</v>
      </c>
      <c r="Q35" s="823">
        <v>0</v>
      </c>
      <c r="R35" s="843">
        <v>0</v>
      </c>
      <c r="S35" s="822">
        <v>0</v>
      </c>
      <c r="T35" s="822">
        <v>0</v>
      </c>
      <c r="U35" s="821">
        <v>0</v>
      </c>
      <c r="V35" s="821">
        <v>0</v>
      </c>
      <c r="W35" s="821">
        <v>0</v>
      </c>
      <c r="X35" s="823"/>
      <c r="Y35" s="605"/>
    </row>
    <row r="36" spans="1:25" ht="21.75" customHeight="1">
      <c r="A36" s="62"/>
      <c r="B36" s="67" t="s">
        <v>67</v>
      </c>
      <c r="C36" s="1112" t="s">
        <v>350</v>
      </c>
      <c r="D36" s="1112"/>
      <c r="E36" s="822"/>
      <c r="F36" s="822"/>
      <c r="G36" s="822"/>
      <c r="H36" s="822"/>
      <c r="I36" s="822"/>
      <c r="J36" s="823">
        <v>0</v>
      </c>
      <c r="K36" s="824"/>
      <c r="L36" s="823">
        <v>0</v>
      </c>
      <c r="M36" s="823">
        <v>0</v>
      </c>
      <c r="N36" s="823">
        <v>0</v>
      </c>
      <c r="O36" s="823">
        <v>0</v>
      </c>
      <c r="P36" s="823">
        <v>0</v>
      </c>
      <c r="Q36" s="823">
        <v>0</v>
      </c>
      <c r="R36" s="843">
        <v>0</v>
      </c>
      <c r="S36" s="822">
        <v>0</v>
      </c>
      <c r="T36" s="822">
        <v>0</v>
      </c>
      <c r="U36" s="823">
        <v>0</v>
      </c>
      <c r="V36" s="823">
        <v>0</v>
      </c>
      <c r="W36" s="823">
        <v>0</v>
      </c>
      <c r="X36" s="823"/>
      <c r="Y36" s="605"/>
    </row>
    <row r="37" spans="1:25" ht="21.75" customHeight="1">
      <c r="A37" s="62"/>
      <c r="B37" s="67" t="s">
        <v>346</v>
      </c>
      <c r="C37" s="1112" t="s">
        <v>311</v>
      </c>
      <c r="D37" s="1112"/>
      <c r="E37" s="305">
        <f aca="true" t="shared" si="23" ref="E37:J37">SUM(E38:E40)</f>
        <v>65614099</v>
      </c>
      <c r="F37" s="305">
        <f t="shared" si="23"/>
        <v>65614099</v>
      </c>
      <c r="G37" s="305">
        <f t="shared" si="23"/>
        <v>65614099</v>
      </c>
      <c r="H37" s="305">
        <f t="shared" si="23"/>
        <v>69424099</v>
      </c>
      <c r="I37" s="305">
        <f t="shared" si="23"/>
        <v>77540632</v>
      </c>
      <c r="J37" s="240">
        <f t="shared" si="23"/>
        <v>0</v>
      </c>
      <c r="K37" s="618">
        <f>J37/I37</f>
        <v>0</v>
      </c>
      <c r="L37" s="240">
        <f aca="true" t="shared" si="24" ref="L37:T37">SUM(L38:L40)</f>
        <v>16569271</v>
      </c>
      <c r="M37" s="240">
        <f t="shared" si="24"/>
        <v>16569271</v>
      </c>
      <c r="N37" s="240">
        <f>SUM(N38:N40)</f>
        <v>16569271</v>
      </c>
      <c r="O37" s="240">
        <f>SUM(O38:O40)</f>
        <v>20379271</v>
      </c>
      <c r="P37" s="240">
        <f>SUM(P38:P40)</f>
        <v>28495804</v>
      </c>
      <c r="Q37" s="240">
        <f t="shared" si="24"/>
        <v>0</v>
      </c>
      <c r="R37" s="842">
        <f t="shared" si="24"/>
        <v>2</v>
      </c>
      <c r="S37" s="240">
        <f t="shared" si="24"/>
        <v>49044828</v>
      </c>
      <c r="T37" s="240">
        <f t="shared" si="24"/>
        <v>49044828</v>
      </c>
      <c r="U37" s="240">
        <f>SUM(U38:U40)</f>
        <v>49044828</v>
      </c>
      <c r="V37" s="240">
        <f>SUM(V38:V40)</f>
        <v>49044828</v>
      </c>
      <c r="W37" s="240">
        <f>SUM(W38:W40)</f>
        <v>49044828</v>
      </c>
      <c r="X37" s="240"/>
      <c r="Y37" s="605"/>
    </row>
    <row r="38" spans="1:25" ht="21.75" customHeight="1">
      <c r="A38" s="62"/>
      <c r="B38" s="67"/>
      <c r="C38" s="64" t="s">
        <v>347</v>
      </c>
      <c r="D38" s="505" t="s">
        <v>32</v>
      </c>
      <c r="E38" s="822">
        <f>189600+7964400</f>
        <v>8154000</v>
      </c>
      <c r="F38" s="822">
        <f>189600+7964400</f>
        <v>8154000</v>
      </c>
      <c r="G38" s="822">
        <f>189600+7964400</f>
        <v>8154000</v>
      </c>
      <c r="H38" s="822">
        <f>189600+7964400</f>
        <v>8154000</v>
      </c>
      <c r="I38" s="822">
        <v>10296700</v>
      </c>
      <c r="J38" s="823"/>
      <c r="K38" s="868"/>
      <c r="L38" s="821">
        <f aca="true" t="shared" si="25" ref="L38:R38">E38</f>
        <v>8154000</v>
      </c>
      <c r="M38" s="821">
        <f t="shared" si="25"/>
        <v>8154000</v>
      </c>
      <c r="N38" s="821">
        <f t="shared" si="25"/>
        <v>8154000</v>
      </c>
      <c r="O38" s="821">
        <f t="shared" si="25"/>
        <v>8154000</v>
      </c>
      <c r="P38" s="821">
        <f t="shared" si="25"/>
        <v>10296700</v>
      </c>
      <c r="Q38" s="821">
        <f t="shared" si="25"/>
        <v>0</v>
      </c>
      <c r="R38" s="841">
        <f t="shared" si="25"/>
        <v>0</v>
      </c>
      <c r="S38" s="822">
        <v>0</v>
      </c>
      <c r="T38" s="822">
        <v>0</v>
      </c>
      <c r="U38" s="821">
        <v>0</v>
      </c>
      <c r="V38" s="821">
        <v>0</v>
      </c>
      <c r="W38" s="821">
        <v>0</v>
      </c>
      <c r="X38" s="823"/>
      <c r="Y38" s="605"/>
    </row>
    <row r="39" spans="1:28" ht="21.75" customHeight="1">
      <c r="A39" s="62"/>
      <c r="B39" s="67"/>
      <c r="C39" s="58" t="s">
        <v>348</v>
      </c>
      <c r="D39" s="201" t="s">
        <v>31</v>
      </c>
      <c r="E39" s="822">
        <v>49044828</v>
      </c>
      <c r="F39" s="822">
        <v>49044828</v>
      </c>
      <c r="G39" s="822">
        <v>49044828</v>
      </c>
      <c r="H39" s="822">
        <v>49044828</v>
      </c>
      <c r="I39" s="822">
        <f>49044828+6198000+677891</f>
        <v>55920719</v>
      </c>
      <c r="J39" s="823"/>
      <c r="K39" s="824"/>
      <c r="L39" s="821">
        <f aca="true" t="shared" si="26" ref="L39:Q39">E39-S39</f>
        <v>0</v>
      </c>
      <c r="M39" s="821">
        <f t="shared" si="26"/>
        <v>0</v>
      </c>
      <c r="N39" s="821">
        <f t="shared" si="26"/>
        <v>0</v>
      </c>
      <c r="O39" s="821">
        <f t="shared" si="26"/>
        <v>0</v>
      </c>
      <c r="P39" s="821">
        <f t="shared" si="26"/>
        <v>6875891</v>
      </c>
      <c r="Q39" s="821">
        <f t="shared" si="26"/>
        <v>0</v>
      </c>
      <c r="R39" s="843">
        <v>2</v>
      </c>
      <c r="S39" s="822">
        <v>49044828</v>
      </c>
      <c r="T39" s="822">
        <v>49044828</v>
      </c>
      <c r="U39" s="821">
        <v>49044828</v>
      </c>
      <c r="V39" s="821">
        <v>49044828</v>
      </c>
      <c r="W39" s="821">
        <v>49044828</v>
      </c>
      <c r="X39" s="823"/>
      <c r="Y39" s="605"/>
      <c r="AB39" s="823"/>
    </row>
    <row r="40" spans="1:25" ht="21.75" customHeight="1" thickBot="1">
      <c r="A40" s="62"/>
      <c r="B40" s="67"/>
      <c r="C40" s="58" t="s">
        <v>349</v>
      </c>
      <c r="D40" s="201" t="s">
        <v>33</v>
      </c>
      <c r="E40" s="825">
        <f>65614099-8154000-49044828</f>
        <v>8415271</v>
      </c>
      <c r="F40" s="825">
        <f>65614099-8154000-49044828</f>
        <v>8415271</v>
      </c>
      <c r="G40" s="825">
        <f>65614099-8154000-49044828</f>
        <v>8415271</v>
      </c>
      <c r="H40" s="825">
        <f>65614099-8154000-49044828+3810000+103000-103000</f>
        <v>12225271</v>
      </c>
      <c r="I40" s="825">
        <f>65614099-8154000-49044828+3810000+103000-103000+716308-1373964+131306-375708</f>
        <v>11323213</v>
      </c>
      <c r="J40" s="826"/>
      <c r="K40" s="868"/>
      <c r="L40" s="821">
        <f aca="true" t="shared" si="27" ref="L40:R40">E40</f>
        <v>8415271</v>
      </c>
      <c r="M40" s="821">
        <f t="shared" si="27"/>
        <v>8415271</v>
      </c>
      <c r="N40" s="821">
        <f t="shared" si="27"/>
        <v>8415271</v>
      </c>
      <c r="O40" s="821">
        <f t="shared" si="27"/>
        <v>12225271</v>
      </c>
      <c r="P40" s="821">
        <f t="shared" si="27"/>
        <v>11323213</v>
      </c>
      <c r="Q40" s="821">
        <f t="shared" si="27"/>
        <v>0</v>
      </c>
      <c r="R40" s="841">
        <f t="shared" si="27"/>
        <v>0</v>
      </c>
      <c r="S40" s="825">
        <v>0</v>
      </c>
      <c r="T40" s="825">
        <v>0</v>
      </c>
      <c r="U40" s="821">
        <v>0</v>
      </c>
      <c r="V40" s="821">
        <v>0</v>
      </c>
      <c r="W40" s="821">
        <v>0</v>
      </c>
      <c r="X40" s="826"/>
      <c r="Y40" s="606"/>
    </row>
    <row r="41" spans="1:25" ht="21.75" customHeight="1" thickBot="1">
      <c r="A41" s="69" t="s">
        <v>10</v>
      </c>
      <c r="B41" s="1120" t="s">
        <v>312</v>
      </c>
      <c r="C41" s="1120"/>
      <c r="D41" s="1120"/>
      <c r="E41" s="297">
        <f>SUM(E42:E43)</f>
        <v>20360661</v>
      </c>
      <c r="F41" s="297">
        <f>SUM(F42:F43)</f>
        <v>20360661</v>
      </c>
      <c r="G41" s="297">
        <f>SUM(G42:G43)</f>
        <v>20360661</v>
      </c>
      <c r="H41" s="297">
        <f>SUM(H42:H43)</f>
        <v>111544661</v>
      </c>
      <c r="I41" s="297">
        <f>SUM(I42:I43)</f>
        <v>146373972</v>
      </c>
      <c r="J41" s="72">
        <f>J42+J43+J47</f>
        <v>0</v>
      </c>
      <c r="K41" s="861">
        <f>J41/I41</f>
        <v>0</v>
      </c>
      <c r="L41" s="72">
        <f aca="true" t="shared" si="28" ref="L41:R41">L42+L43+L47</f>
        <v>20360661</v>
      </c>
      <c r="M41" s="72">
        <f t="shared" si="28"/>
        <v>20360661</v>
      </c>
      <c r="N41" s="72">
        <f t="shared" si="28"/>
        <v>20360661</v>
      </c>
      <c r="O41" s="72">
        <f t="shared" si="28"/>
        <v>111544661</v>
      </c>
      <c r="P41" s="72">
        <f t="shared" si="28"/>
        <v>146373972</v>
      </c>
      <c r="Q41" s="72">
        <f t="shared" si="28"/>
        <v>0</v>
      </c>
      <c r="R41" s="706">
        <f t="shared" si="28"/>
        <v>6000002</v>
      </c>
      <c r="S41" s="297">
        <f>SUM(S42:S43)</f>
        <v>0</v>
      </c>
      <c r="T41" s="297">
        <f>SUM(T42:T43)</f>
        <v>0</v>
      </c>
      <c r="U41" s="72">
        <f>SUM(U42:U43)</f>
        <v>0</v>
      </c>
      <c r="V41" s="72">
        <f>SUM(V42:V43)</f>
        <v>0</v>
      </c>
      <c r="W41" s="72">
        <f>SUM(W42:W43)</f>
        <v>0</v>
      </c>
      <c r="X41" s="72">
        <f>X42+X43+X47</f>
        <v>0</v>
      </c>
      <c r="Y41" s="621"/>
    </row>
    <row r="42" spans="1:25" ht="21.75" customHeight="1">
      <c r="A42" s="63"/>
      <c r="B42" s="70" t="s">
        <v>313</v>
      </c>
      <c r="C42" s="1124" t="s">
        <v>315</v>
      </c>
      <c r="D42" s="1124"/>
      <c r="E42" s="831"/>
      <c r="F42" s="831"/>
      <c r="G42" s="831"/>
      <c r="H42" s="831"/>
      <c r="I42" s="831"/>
      <c r="J42" s="829"/>
      <c r="K42" s="830"/>
      <c r="L42" s="821">
        <f aca="true" t="shared" si="29" ref="L42:Q42">E42-S42</f>
        <v>0</v>
      </c>
      <c r="M42" s="821">
        <f t="shared" si="29"/>
        <v>0</v>
      </c>
      <c r="N42" s="821">
        <f t="shared" si="29"/>
        <v>0</v>
      </c>
      <c r="O42" s="821">
        <f t="shared" si="29"/>
        <v>0</v>
      </c>
      <c r="P42" s="821">
        <f t="shared" si="29"/>
        <v>0</v>
      </c>
      <c r="Q42" s="821">
        <f t="shared" si="29"/>
        <v>0</v>
      </c>
      <c r="R42" s="844">
        <v>2</v>
      </c>
      <c r="S42" s="831">
        <v>0</v>
      </c>
      <c r="T42" s="831">
        <v>0</v>
      </c>
      <c r="U42" s="821">
        <v>0</v>
      </c>
      <c r="V42" s="821">
        <v>0</v>
      </c>
      <c r="W42" s="821">
        <v>0</v>
      </c>
      <c r="X42" s="829"/>
      <c r="Y42" s="624"/>
    </row>
    <row r="43" spans="1:25" ht="21.75" customHeight="1">
      <c r="A43" s="62"/>
      <c r="B43" s="59" t="s">
        <v>314</v>
      </c>
      <c r="C43" s="1112" t="s">
        <v>316</v>
      </c>
      <c r="D43" s="1112"/>
      <c r="E43" s="305">
        <f aca="true" t="shared" si="30" ref="E43:J43">SUM(E44:E46)</f>
        <v>20360661</v>
      </c>
      <c r="F43" s="305">
        <f t="shared" si="30"/>
        <v>20360661</v>
      </c>
      <c r="G43" s="305">
        <f t="shared" si="30"/>
        <v>20360661</v>
      </c>
      <c r="H43" s="305">
        <f t="shared" si="30"/>
        <v>111544661</v>
      </c>
      <c r="I43" s="305">
        <f t="shared" si="30"/>
        <v>146373972</v>
      </c>
      <c r="J43" s="240">
        <f t="shared" si="30"/>
        <v>0</v>
      </c>
      <c r="K43" s="618">
        <f>J43/I43</f>
        <v>0</v>
      </c>
      <c r="L43" s="240">
        <f>SUM(L44:L46)</f>
        <v>20360661</v>
      </c>
      <c r="M43" s="240">
        <f>SUM(M44:M46)</f>
        <v>20360661</v>
      </c>
      <c r="N43" s="240">
        <f>SUM(N44:N46)</f>
        <v>20360661</v>
      </c>
      <c r="O43" s="240">
        <f>SUM(O44:O46)</f>
        <v>111544661</v>
      </c>
      <c r="P43" s="240">
        <f>SUM(P44:P46)</f>
        <v>146373972</v>
      </c>
      <c r="Q43" s="240">
        <f>SUM(Q44:Q46)</f>
        <v>0</v>
      </c>
      <c r="R43" s="842">
        <f aca="true" t="shared" si="31" ref="R43:X43">SUM(R44:R46)</f>
        <v>6000000</v>
      </c>
      <c r="S43" s="305">
        <f t="shared" si="31"/>
        <v>0</v>
      </c>
      <c r="T43" s="305">
        <f>SUM(T44:T46)</f>
        <v>0</v>
      </c>
      <c r="U43" s="240">
        <f>SUM(U44:U46)</f>
        <v>0</v>
      </c>
      <c r="V43" s="240">
        <f>SUM(V44:V46)</f>
        <v>0</v>
      </c>
      <c r="W43" s="240">
        <f>SUM(W44:W46)</f>
        <v>0</v>
      </c>
      <c r="X43" s="240">
        <f t="shared" si="31"/>
        <v>0</v>
      </c>
      <c r="Y43" s="605"/>
    </row>
    <row r="44" spans="1:25" ht="21.75" customHeight="1">
      <c r="A44" s="62"/>
      <c r="B44" s="70"/>
      <c r="C44" s="64" t="s">
        <v>317</v>
      </c>
      <c r="D44" s="505" t="s">
        <v>32</v>
      </c>
      <c r="E44" s="822">
        <v>0</v>
      </c>
      <c r="F44" s="822">
        <v>0</v>
      </c>
      <c r="G44" s="822">
        <v>0</v>
      </c>
      <c r="H44" s="822">
        <v>0</v>
      </c>
      <c r="I44" s="822">
        <v>0</v>
      </c>
      <c r="J44" s="823">
        <v>0</v>
      </c>
      <c r="K44" s="824"/>
      <c r="L44" s="823"/>
      <c r="M44" s="823"/>
      <c r="N44" s="823"/>
      <c r="O44" s="823"/>
      <c r="P44" s="823"/>
      <c r="Q44" s="823"/>
      <c r="R44" s="843">
        <v>0</v>
      </c>
      <c r="S44" s="822">
        <v>0</v>
      </c>
      <c r="T44" s="822">
        <v>0</v>
      </c>
      <c r="U44" s="823">
        <v>0</v>
      </c>
      <c r="V44" s="823">
        <v>0</v>
      </c>
      <c r="W44" s="823">
        <v>0</v>
      </c>
      <c r="X44" s="823"/>
      <c r="Y44" s="605"/>
    </row>
    <row r="45" spans="1:25" ht="21.75" customHeight="1">
      <c r="A45" s="62"/>
      <c r="B45" s="59"/>
      <c r="C45" s="58" t="s">
        <v>318</v>
      </c>
      <c r="D45" s="505" t="s">
        <v>31</v>
      </c>
      <c r="E45" s="822">
        <v>20360661</v>
      </c>
      <c r="F45" s="822">
        <v>20360661</v>
      </c>
      <c r="G45" s="822">
        <v>20360661</v>
      </c>
      <c r="H45" s="822">
        <v>20360661</v>
      </c>
      <c r="I45" s="822">
        <v>20360661</v>
      </c>
      <c r="J45" s="823"/>
      <c r="K45" s="868"/>
      <c r="L45" s="821">
        <f aca="true" t="shared" si="32" ref="L45:Q45">E45-S45</f>
        <v>20360661</v>
      </c>
      <c r="M45" s="821">
        <f t="shared" si="32"/>
        <v>20360661</v>
      </c>
      <c r="N45" s="821">
        <f t="shared" si="32"/>
        <v>20360661</v>
      </c>
      <c r="O45" s="821">
        <f t="shared" si="32"/>
        <v>20360661</v>
      </c>
      <c r="P45" s="821">
        <f t="shared" si="32"/>
        <v>20360661</v>
      </c>
      <c r="Q45" s="821">
        <f t="shared" si="32"/>
        <v>0</v>
      </c>
      <c r="R45" s="843">
        <v>0</v>
      </c>
      <c r="S45" s="822">
        <v>0</v>
      </c>
      <c r="T45" s="822">
        <v>0</v>
      </c>
      <c r="U45" s="821">
        <v>0</v>
      </c>
      <c r="V45" s="821">
        <v>0</v>
      </c>
      <c r="W45" s="821">
        <v>0</v>
      </c>
      <c r="X45" s="823"/>
      <c r="Y45" s="605"/>
    </row>
    <row r="46" spans="1:25" ht="21.75" customHeight="1">
      <c r="A46" s="66"/>
      <c r="B46" s="70"/>
      <c r="C46" s="64" t="s">
        <v>319</v>
      </c>
      <c r="D46" s="505" t="s">
        <v>320</v>
      </c>
      <c r="E46" s="822"/>
      <c r="F46" s="822"/>
      <c r="G46" s="822"/>
      <c r="H46" s="822">
        <v>91184000</v>
      </c>
      <c r="I46" s="822">
        <f>91184000-156338+29986400+4999249</f>
        <v>126013311</v>
      </c>
      <c r="J46" s="823"/>
      <c r="K46" s="868"/>
      <c r="L46" s="823"/>
      <c r="M46" s="823"/>
      <c r="N46" s="823"/>
      <c r="O46" s="821">
        <f>H46-V46</f>
        <v>91184000</v>
      </c>
      <c r="P46" s="821">
        <f>I46-W46</f>
        <v>126013311</v>
      </c>
      <c r="Q46" s="823"/>
      <c r="R46" s="843">
        <v>6000000</v>
      </c>
      <c r="S46" s="822">
        <v>0</v>
      </c>
      <c r="T46" s="822">
        <v>0</v>
      </c>
      <c r="U46" s="823">
        <v>0</v>
      </c>
      <c r="V46" s="823">
        <v>0</v>
      </c>
      <c r="W46" s="823">
        <v>0</v>
      </c>
      <c r="X46" s="823"/>
      <c r="Y46" s="605"/>
    </row>
    <row r="47" spans="1:25" ht="21.75" customHeight="1" thickBot="1">
      <c r="A47" s="309"/>
      <c r="B47" s="59" t="s">
        <v>343</v>
      </c>
      <c r="C47" s="1112" t="s">
        <v>475</v>
      </c>
      <c r="D47" s="1112"/>
      <c r="E47" s="822">
        <v>0</v>
      </c>
      <c r="F47" s="822">
        <v>0</v>
      </c>
      <c r="G47" s="822">
        <v>0</v>
      </c>
      <c r="H47" s="822">
        <v>0</v>
      </c>
      <c r="I47" s="822">
        <v>0</v>
      </c>
      <c r="J47" s="823"/>
      <c r="K47" s="824"/>
      <c r="L47" s="821"/>
      <c r="M47" s="821"/>
      <c r="N47" s="821"/>
      <c r="O47" s="821"/>
      <c r="P47" s="821"/>
      <c r="Q47" s="821"/>
      <c r="R47" s="841">
        <f>K47-Y47</f>
        <v>0</v>
      </c>
      <c r="S47" s="822">
        <v>0</v>
      </c>
      <c r="T47" s="822">
        <v>0</v>
      </c>
      <c r="U47" s="821">
        <v>0</v>
      </c>
      <c r="V47" s="821">
        <v>0</v>
      </c>
      <c r="W47" s="821">
        <v>0</v>
      </c>
      <c r="X47" s="823">
        <f>J47</f>
        <v>0</v>
      </c>
      <c r="Y47" s="605"/>
    </row>
    <row r="48" spans="1:25" ht="21.75" customHeight="1" hidden="1" thickBot="1">
      <c r="A48" s="309"/>
      <c r="B48" s="70"/>
      <c r="C48" s="1118"/>
      <c r="D48" s="1118"/>
      <c r="E48" s="453"/>
      <c r="F48" s="453"/>
      <c r="G48" s="453"/>
      <c r="H48" s="453"/>
      <c r="I48" s="453"/>
      <c r="J48" s="454"/>
      <c r="K48" s="606" t="e">
        <f>I48/H48</f>
        <v>#DIV/0!</v>
      </c>
      <c r="L48" s="454"/>
      <c r="M48" s="454"/>
      <c r="N48" s="454"/>
      <c r="O48" s="454"/>
      <c r="P48" s="454"/>
      <c r="Q48" s="454"/>
      <c r="R48" s="845"/>
      <c r="S48" s="453"/>
      <c r="T48" s="453"/>
      <c r="U48" s="454"/>
      <c r="V48" s="454"/>
      <c r="W48" s="454"/>
      <c r="X48" s="454"/>
      <c r="Y48" s="606"/>
    </row>
    <row r="49" spans="1:25" ht="21.75" customHeight="1" thickBot="1">
      <c r="A49" s="69" t="s">
        <v>11</v>
      </c>
      <c r="B49" s="1120" t="s">
        <v>73</v>
      </c>
      <c r="C49" s="1120"/>
      <c r="D49" s="1120"/>
      <c r="E49" s="297">
        <f aca="true" t="shared" si="33" ref="E49:J49">E50+E51</f>
        <v>60000</v>
      </c>
      <c r="F49" s="297">
        <f t="shared" si="33"/>
        <v>75000</v>
      </c>
      <c r="G49" s="297">
        <f t="shared" si="33"/>
        <v>120000</v>
      </c>
      <c r="H49" s="297">
        <f t="shared" si="33"/>
        <v>260000</v>
      </c>
      <c r="I49" s="297">
        <f t="shared" si="33"/>
        <v>260000</v>
      </c>
      <c r="J49" s="72">
        <f t="shared" si="33"/>
        <v>0</v>
      </c>
      <c r="K49" s="861">
        <f>J49/I49</f>
        <v>0</v>
      </c>
      <c r="L49" s="72">
        <f>L50+L51</f>
        <v>60000</v>
      </c>
      <c r="M49" s="72">
        <f>M50+M51</f>
        <v>75000</v>
      </c>
      <c r="N49" s="72">
        <f>N50+N51</f>
        <v>120000</v>
      </c>
      <c r="O49" s="72">
        <f>O50+O51</f>
        <v>260000</v>
      </c>
      <c r="P49" s="72">
        <f>P50+P51</f>
        <v>260000</v>
      </c>
      <c r="Q49" s="72">
        <f aca="true" t="shared" si="34" ref="Q49:X49">Q50+Q51</f>
        <v>0</v>
      </c>
      <c r="R49" s="706">
        <f t="shared" si="34"/>
        <v>0</v>
      </c>
      <c r="S49" s="297">
        <f t="shared" si="34"/>
        <v>0</v>
      </c>
      <c r="T49" s="297">
        <f>T50+T51</f>
        <v>0</v>
      </c>
      <c r="U49" s="72">
        <f>U50+U51</f>
        <v>0</v>
      </c>
      <c r="V49" s="72">
        <f>V50+V51</f>
        <v>0</v>
      </c>
      <c r="W49" s="72">
        <f>W50+W51</f>
        <v>0</v>
      </c>
      <c r="X49" s="72">
        <f t="shared" si="34"/>
        <v>0</v>
      </c>
      <c r="Y49" s="621"/>
    </row>
    <row r="50" spans="1:25" s="879" customFormat="1" ht="21.75" customHeight="1">
      <c r="A50" s="878"/>
      <c r="B50" s="70" t="s">
        <v>43</v>
      </c>
      <c r="C50" s="1124" t="s">
        <v>332</v>
      </c>
      <c r="D50" s="1124"/>
      <c r="E50" s="831">
        <v>60000</v>
      </c>
      <c r="F50" s="831">
        <v>75000</v>
      </c>
      <c r="G50" s="831">
        <v>120000</v>
      </c>
      <c r="H50" s="831">
        <v>160000</v>
      </c>
      <c r="I50" s="831">
        <v>160000</v>
      </c>
      <c r="J50" s="829"/>
      <c r="K50" s="868"/>
      <c r="L50" s="821">
        <f aca="true" t="shared" si="35" ref="L50:P51">E50</f>
        <v>60000</v>
      </c>
      <c r="M50" s="821">
        <f t="shared" si="35"/>
        <v>75000</v>
      </c>
      <c r="N50" s="821">
        <f t="shared" si="35"/>
        <v>120000</v>
      </c>
      <c r="O50" s="821">
        <f t="shared" si="35"/>
        <v>160000</v>
      </c>
      <c r="P50" s="821">
        <f t="shared" si="35"/>
        <v>160000</v>
      </c>
      <c r="Q50" s="821">
        <f>J50</f>
        <v>0</v>
      </c>
      <c r="R50" s="841">
        <f>K50</f>
        <v>0</v>
      </c>
      <c r="S50" s="831">
        <v>0</v>
      </c>
      <c r="T50" s="831">
        <v>0</v>
      </c>
      <c r="U50" s="821">
        <v>0</v>
      </c>
      <c r="V50" s="821">
        <v>0</v>
      </c>
      <c r="W50" s="821">
        <v>0</v>
      </c>
      <c r="X50" s="829"/>
      <c r="Y50" s="624"/>
    </row>
    <row r="51" spans="1:25" s="879" customFormat="1" ht="21.75" customHeight="1" thickBot="1">
      <c r="A51" s="62"/>
      <c r="B51" s="58" t="s">
        <v>44</v>
      </c>
      <c r="C51" s="1112" t="s">
        <v>461</v>
      </c>
      <c r="D51" s="1112"/>
      <c r="E51" s="832"/>
      <c r="F51" s="832"/>
      <c r="G51" s="832"/>
      <c r="H51" s="832">
        <v>100000</v>
      </c>
      <c r="I51" s="832">
        <v>100000</v>
      </c>
      <c r="J51" s="833"/>
      <c r="K51" s="834"/>
      <c r="L51" s="821">
        <f t="shared" si="35"/>
        <v>0</v>
      </c>
      <c r="M51" s="821">
        <f t="shared" si="35"/>
        <v>0</v>
      </c>
      <c r="N51" s="821">
        <f t="shared" si="35"/>
        <v>0</v>
      </c>
      <c r="O51" s="821">
        <f t="shared" si="35"/>
        <v>100000</v>
      </c>
      <c r="P51" s="821">
        <f t="shared" si="35"/>
        <v>100000</v>
      </c>
      <c r="Q51" s="821">
        <f>J51</f>
        <v>0</v>
      </c>
      <c r="R51" s="841">
        <f>K51</f>
        <v>0</v>
      </c>
      <c r="S51" s="832">
        <v>0</v>
      </c>
      <c r="T51" s="832">
        <v>0</v>
      </c>
      <c r="U51" s="821">
        <v>0</v>
      </c>
      <c r="V51" s="821">
        <v>0</v>
      </c>
      <c r="W51" s="821">
        <v>0</v>
      </c>
      <c r="X51" s="833"/>
      <c r="Y51" s="629"/>
    </row>
    <row r="52" spans="1:25" ht="21.75" customHeight="1" thickBot="1">
      <c r="A52" s="69" t="s">
        <v>12</v>
      </c>
      <c r="B52" s="1120" t="s">
        <v>321</v>
      </c>
      <c r="C52" s="1120"/>
      <c r="D52" s="1120"/>
      <c r="E52" s="293">
        <f aca="true" t="shared" si="36" ref="E52:J52">SUM(E53:E54)</f>
        <v>0</v>
      </c>
      <c r="F52" s="293">
        <f t="shared" si="36"/>
        <v>0</v>
      </c>
      <c r="G52" s="293">
        <f t="shared" si="36"/>
        <v>0</v>
      </c>
      <c r="H52" s="293">
        <f t="shared" si="36"/>
        <v>0</v>
      </c>
      <c r="I52" s="293">
        <f t="shared" si="36"/>
        <v>472441</v>
      </c>
      <c r="J52" s="39">
        <f t="shared" si="36"/>
        <v>0</v>
      </c>
      <c r="K52" s="861">
        <f>J52/I52</f>
        <v>0</v>
      </c>
      <c r="L52" s="39">
        <f>SUM(L53:L54)</f>
        <v>0</v>
      </c>
      <c r="M52" s="39">
        <f>SUM(M53:M54)</f>
        <v>0</v>
      </c>
      <c r="N52" s="39">
        <f>SUM(N53:N54)</f>
        <v>0</v>
      </c>
      <c r="O52" s="39">
        <f>SUM(O53:O54)</f>
        <v>0</v>
      </c>
      <c r="P52" s="39">
        <f>SUM(P53:P54)</f>
        <v>472441</v>
      </c>
      <c r="Q52" s="39">
        <f aca="true" t="shared" si="37" ref="Q52:X52">SUM(Q53:Q54)</f>
        <v>0</v>
      </c>
      <c r="R52" s="703">
        <f t="shared" si="37"/>
        <v>2</v>
      </c>
      <c r="S52" s="293">
        <f t="shared" si="37"/>
        <v>0</v>
      </c>
      <c r="T52" s="293">
        <f>SUM(T53:T54)</f>
        <v>0</v>
      </c>
      <c r="U52" s="39">
        <f>SUM(U53:U54)</f>
        <v>0</v>
      </c>
      <c r="V52" s="39">
        <f>SUM(V53:V54)</f>
        <v>0</v>
      </c>
      <c r="W52" s="39">
        <f>SUM(W53:W54)</f>
        <v>0</v>
      </c>
      <c r="X52" s="39">
        <f t="shared" si="37"/>
        <v>0</v>
      </c>
      <c r="Y52" s="626"/>
    </row>
    <row r="53" spans="1:25" s="6" customFormat="1" ht="21.75" customHeight="1">
      <c r="A53" s="71"/>
      <c r="B53" s="64" t="s">
        <v>45</v>
      </c>
      <c r="C53" s="1124" t="s">
        <v>323</v>
      </c>
      <c r="D53" s="1124"/>
      <c r="E53" s="835"/>
      <c r="F53" s="835"/>
      <c r="G53" s="835"/>
      <c r="H53" s="835"/>
      <c r="I53" s="835">
        <v>472441</v>
      </c>
      <c r="J53" s="821"/>
      <c r="K53" s="868"/>
      <c r="L53" s="821">
        <f aca="true" t="shared" si="38" ref="L53:R53">E53</f>
        <v>0</v>
      </c>
      <c r="M53" s="821">
        <f t="shared" si="38"/>
        <v>0</v>
      </c>
      <c r="N53" s="821">
        <f t="shared" si="38"/>
        <v>0</v>
      </c>
      <c r="O53" s="821">
        <f t="shared" si="38"/>
        <v>0</v>
      </c>
      <c r="P53" s="821">
        <f t="shared" si="38"/>
        <v>472441</v>
      </c>
      <c r="Q53" s="821">
        <f t="shared" si="38"/>
        <v>0</v>
      </c>
      <c r="R53" s="841">
        <f t="shared" si="38"/>
        <v>0</v>
      </c>
      <c r="S53" s="835">
        <v>0</v>
      </c>
      <c r="T53" s="835">
        <v>0</v>
      </c>
      <c r="U53" s="821">
        <v>0</v>
      </c>
      <c r="V53" s="821">
        <v>0</v>
      </c>
      <c r="W53" s="821">
        <v>0</v>
      </c>
      <c r="X53" s="821"/>
      <c r="Y53" s="631"/>
    </row>
    <row r="54" spans="1:25" ht="21.75" customHeight="1" thickBot="1">
      <c r="A54" s="66"/>
      <c r="B54" s="67" t="s">
        <v>322</v>
      </c>
      <c r="C54" s="1125" t="s">
        <v>324</v>
      </c>
      <c r="D54" s="1125"/>
      <c r="E54" s="836">
        <v>0</v>
      </c>
      <c r="F54" s="836">
        <v>0</v>
      </c>
      <c r="G54" s="836">
        <v>0</v>
      </c>
      <c r="H54" s="836">
        <v>0</v>
      </c>
      <c r="I54" s="836">
        <v>0</v>
      </c>
      <c r="J54" s="837">
        <v>0</v>
      </c>
      <c r="K54" s="838"/>
      <c r="L54" s="837">
        <v>0</v>
      </c>
      <c r="M54" s="837">
        <v>0</v>
      </c>
      <c r="N54" s="837">
        <v>0</v>
      </c>
      <c r="O54" s="837">
        <v>0</v>
      </c>
      <c r="P54" s="837">
        <v>0</v>
      </c>
      <c r="Q54" s="837">
        <v>0</v>
      </c>
      <c r="R54" s="846">
        <v>2</v>
      </c>
      <c r="S54" s="836">
        <v>0</v>
      </c>
      <c r="T54" s="836">
        <v>0</v>
      </c>
      <c r="U54" s="837">
        <v>0</v>
      </c>
      <c r="V54" s="837">
        <v>0</v>
      </c>
      <c r="W54" s="837">
        <v>0</v>
      </c>
      <c r="X54" s="837"/>
      <c r="Y54" s="628"/>
    </row>
    <row r="55" spans="1:25" ht="21.75" customHeight="1" thickBot="1">
      <c r="A55" s="69" t="s">
        <v>13</v>
      </c>
      <c r="B55" s="1131" t="s">
        <v>75</v>
      </c>
      <c r="C55" s="1131"/>
      <c r="D55" s="1131"/>
      <c r="E55" s="293">
        <f aca="true" t="shared" si="39" ref="E55:J55">E7+E21+E41+E49+E52+E32</f>
        <v>593861724</v>
      </c>
      <c r="F55" s="293">
        <f t="shared" si="39"/>
        <v>594089124</v>
      </c>
      <c r="G55" s="293">
        <f t="shared" si="39"/>
        <v>594259124</v>
      </c>
      <c r="H55" s="293">
        <f t="shared" si="39"/>
        <v>715572432</v>
      </c>
      <c r="I55" s="293">
        <f t="shared" si="39"/>
        <v>796016107</v>
      </c>
      <c r="J55" s="39">
        <f t="shared" si="39"/>
        <v>0</v>
      </c>
      <c r="K55" s="861">
        <f>J55/I55</f>
        <v>0</v>
      </c>
      <c r="L55" s="39">
        <f>L7+L21+L41+L49+L52+L32</f>
        <v>515149122</v>
      </c>
      <c r="M55" s="39">
        <f>M7+M21+M41+M49+M52+M32</f>
        <v>515376522</v>
      </c>
      <c r="N55" s="39">
        <f>N7+N21+N41+N49+N52+N32</f>
        <v>515336522</v>
      </c>
      <c r="O55" s="39">
        <f>O7+O21+O41+O49+O52+O32</f>
        <v>634919830</v>
      </c>
      <c r="P55" s="39">
        <f>P7+P21+P41+P49+P52+P32</f>
        <v>719272599</v>
      </c>
      <c r="Q55" s="39">
        <f aca="true" t="shared" si="40" ref="Q55:X55">Q7+Q21+Q41+Q49+Q52+Q32</f>
        <v>-20150631</v>
      </c>
      <c r="R55" s="703">
        <f t="shared" si="40"/>
        <v>106000013.11931127</v>
      </c>
      <c r="S55" s="293">
        <f t="shared" si="40"/>
        <v>78712602</v>
      </c>
      <c r="T55" s="293">
        <f>T7+T21+T41+T49+T52+T32</f>
        <v>78712602</v>
      </c>
      <c r="U55" s="39">
        <f>U7+U21+U41+U49+U52+U32</f>
        <v>78922602</v>
      </c>
      <c r="V55" s="39">
        <f>V7+V21+V41+V49+V52+V32</f>
        <v>80652602</v>
      </c>
      <c r="W55" s="39">
        <f>W7+W21+W41+W49+W52+W32</f>
        <v>76743508</v>
      </c>
      <c r="X55" s="39">
        <f t="shared" si="40"/>
        <v>20150631</v>
      </c>
      <c r="Y55" s="626">
        <f>W55/V55</f>
        <v>0.951531706317423</v>
      </c>
    </row>
    <row r="56" spans="1:25" ht="24" customHeight="1" thickBot="1">
      <c r="A56" s="65" t="s">
        <v>56</v>
      </c>
      <c r="B56" s="1120" t="s">
        <v>325</v>
      </c>
      <c r="C56" s="1120"/>
      <c r="D56" s="1120"/>
      <c r="E56" s="293">
        <f aca="true" t="shared" si="41" ref="E56:J56">SUM(E57:E59)</f>
        <v>189615586</v>
      </c>
      <c r="F56" s="293">
        <f t="shared" si="41"/>
        <v>189615586</v>
      </c>
      <c r="G56" s="293">
        <f t="shared" si="41"/>
        <v>189615586</v>
      </c>
      <c r="H56" s="293">
        <f t="shared" si="41"/>
        <v>189615586</v>
      </c>
      <c r="I56" s="293">
        <f t="shared" si="41"/>
        <v>200528232</v>
      </c>
      <c r="J56" s="39">
        <f t="shared" si="41"/>
        <v>0</v>
      </c>
      <c r="K56" s="861">
        <f>J56/I56</f>
        <v>0</v>
      </c>
      <c r="L56" s="39">
        <f>SUM(L57:L59)</f>
        <v>169715553</v>
      </c>
      <c r="M56" s="39">
        <f>SUM(M57:M59)</f>
        <v>169715553</v>
      </c>
      <c r="N56" s="39">
        <f>SUM(N57:N59)</f>
        <v>169715553</v>
      </c>
      <c r="O56" s="39">
        <f>SUM(O57:O59)</f>
        <v>169715553</v>
      </c>
      <c r="P56" s="39">
        <f>SUM(P57:P59)</f>
        <v>180628199</v>
      </c>
      <c r="Q56" s="39">
        <f aca="true" t="shared" si="42" ref="Q56:X56">SUM(Q57:Q59)</f>
        <v>0</v>
      </c>
      <c r="R56" s="703">
        <f t="shared" si="42"/>
        <v>0</v>
      </c>
      <c r="S56" s="293">
        <f t="shared" si="42"/>
        <v>19900033</v>
      </c>
      <c r="T56" s="293">
        <f>SUM(T57:T59)</f>
        <v>19900033</v>
      </c>
      <c r="U56" s="39">
        <f>SUM(U57:U59)</f>
        <v>19900033</v>
      </c>
      <c r="V56" s="39">
        <f>SUM(V57:V59)</f>
        <v>19900033</v>
      </c>
      <c r="W56" s="39">
        <f>SUM(W57:W59)</f>
        <v>19900033</v>
      </c>
      <c r="X56" s="39">
        <f t="shared" si="42"/>
        <v>0</v>
      </c>
      <c r="Y56" s="626"/>
    </row>
    <row r="57" spans="1:25" ht="21.75" customHeight="1">
      <c r="A57" s="63"/>
      <c r="B57" s="64" t="s">
        <v>46</v>
      </c>
      <c r="C57" s="1124" t="s">
        <v>541</v>
      </c>
      <c r="D57" s="1124"/>
      <c r="E57" s="835"/>
      <c r="F57" s="835"/>
      <c r="G57" s="835"/>
      <c r="H57" s="835"/>
      <c r="I57" s="835">
        <v>10912646</v>
      </c>
      <c r="J57" s="821"/>
      <c r="K57" s="868"/>
      <c r="L57" s="821">
        <f aca="true" t="shared" si="43" ref="L57:P58">E57</f>
        <v>0</v>
      </c>
      <c r="M57" s="821">
        <f t="shared" si="43"/>
        <v>0</v>
      </c>
      <c r="N57" s="821">
        <f t="shared" si="43"/>
        <v>0</v>
      </c>
      <c r="O57" s="821">
        <f t="shared" si="43"/>
        <v>0</v>
      </c>
      <c r="P57" s="821">
        <f t="shared" si="43"/>
        <v>10912646</v>
      </c>
      <c r="Q57" s="821">
        <f>J57</f>
        <v>0</v>
      </c>
      <c r="R57" s="841">
        <f>K57</f>
        <v>0</v>
      </c>
      <c r="S57" s="835">
        <v>0</v>
      </c>
      <c r="T57" s="835">
        <v>0</v>
      </c>
      <c r="U57" s="821">
        <v>0</v>
      </c>
      <c r="V57" s="821">
        <v>0</v>
      </c>
      <c r="W57" s="821">
        <v>0</v>
      </c>
      <c r="X57" s="821"/>
      <c r="Y57" s="631"/>
    </row>
    <row r="58" spans="1:25" ht="21.75" customHeight="1">
      <c r="A58" s="62"/>
      <c r="B58" s="59" t="s">
        <v>47</v>
      </c>
      <c r="C58" s="1124" t="s">
        <v>509</v>
      </c>
      <c r="D58" s="1124"/>
      <c r="E58" s="832"/>
      <c r="F58" s="832"/>
      <c r="G58" s="832"/>
      <c r="H58" s="832"/>
      <c r="I58" s="832"/>
      <c r="J58" s="832"/>
      <c r="K58" s="834"/>
      <c r="L58" s="821">
        <f t="shared" si="43"/>
        <v>0</v>
      </c>
      <c r="M58" s="821">
        <f t="shared" si="43"/>
        <v>0</v>
      </c>
      <c r="N58" s="821">
        <f t="shared" si="43"/>
        <v>0</v>
      </c>
      <c r="O58" s="821">
        <f t="shared" si="43"/>
        <v>0</v>
      </c>
      <c r="P58" s="821">
        <f t="shared" si="43"/>
        <v>0</v>
      </c>
      <c r="Q58" s="821">
        <f>J58</f>
        <v>0</v>
      </c>
      <c r="R58" s="847"/>
      <c r="S58" s="832">
        <v>0</v>
      </c>
      <c r="T58" s="832">
        <v>0</v>
      </c>
      <c r="U58" s="821">
        <v>0</v>
      </c>
      <c r="V58" s="821">
        <v>0</v>
      </c>
      <c r="W58" s="821">
        <v>0</v>
      </c>
      <c r="X58" s="833"/>
      <c r="Y58" s="629"/>
    </row>
    <row r="59" spans="1:25" ht="21.75" customHeight="1" thickBot="1">
      <c r="A59" s="62"/>
      <c r="B59" s="59" t="s">
        <v>74</v>
      </c>
      <c r="C59" s="1124" t="s">
        <v>326</v>
      </c>
      <c r="D59" s="1124"/>
      <c r="E59" s="832">
        <v>189615586</v>
      </c>
      <c r="F59" s="832">
        <v>189615586</v>
      </c>
      <c r="G59" s="832">
        <v>189615586</v>
      </c>
      <c r="H59" s="832">
        <v>189615586</v>
      </c>
      <c r="I59" s="832">
        <v>189615586</v>
      </c>
      <c r="J59" s="832"/>
      <c r="K59" s="868"/>
      <c r="L59" s="821">
        <f>+E59-S59</f>
        <v>169715553</v>
      </c>
      <c r="M59" s="821">
        <f>+F59-T59</f>
        <v>169715553</v>
      </c>
      <c r="N59" s="821">
        <f>+G59-U59</f>
        <v>169715553</v>
      </c>
      <c r="O59" s="821">
        <f>+H59-V59</f>
        <v>169715553</v>
      </c>
      <c r="P59" s="821">
        <f>+I59-W59</f>
        <v>169715553</v>
      </c>
      <c r="Q59" s="821">
        <f>J59</f>
        <v>0</v>
      </c>
      <c r="R59" s="841">
        <f>K59</f>
        <v>0</v>
      </c>
      <c r="S59" s="832">
        <v>19900033</v>
      </c>
      <c r="T59" s="832">
        <v>19900033</v>
      </c>
      <c r="U59" s="821">
        <v>19900033</v>
      </c>
      <c r="V59" s="821">
        <v>19900033</v>
      </c>
      <c r="W59" s="821">
        <v>19900033</v>
      </c>
      <c r="X59" s="833"/>
      <c r="Y59" s="629"/>
    </row>
    <row r="60" spans="1:25" ht="35.25" customHeight="1" thickBot="1">
      <c r="A60" s="69" t="s">
        <v>57</v>
      </c>
      <c r="B60" s="1130" t="s">
        <v>76</v>
      </c>
      <c r="C60" s="1130"/>
      <c r="D60" s="1130"/>
      <c r="E60" s="293">
        <f aca="true" t="shared" si="44" ref="E60:J60">E55+E56</f>
        <v>783477310</v>
      </c>
      <c r="F60" s="293">
        <f t="shared" si="44"/>
        <v>783704710</v>
      </c>
      <c r="G60" s="293">
        <f t="shared" si="44"/>
        <v>783874710</v>
      </c>
      <c r="H60" s="293">
        <f t="shared" si="44"/>
        <v>905188018</v>
      </c>
      <c r="I60" s="293">
        <f t="shared" si="44"/>
        <v>996544339</v>
      </c>
      <c r="J60" s="39">
        <f t="shared" si="44"/>
        <v>0</v>
      </c>
      <c r="K60" s="861">
        <f>J60/I60</f>
        <v>0</v>
      </c>
      <c r="L60" s="39">
        <f>L55+L56</f>
        <v>684864675</v>
      </c>
      <c r="M60" s="39">
        <f>M55+M56</f>
        <v>685092075</v>
      </c>
      <c r="N60" s="39">
        <f>N55+N56</f>
        <v>685052075</v>
      </c>
      <c r="O60" s="39">
        <f>O55+O56</f>
        <v>804635383</v>
      </c>
      <c r="P60" s="39">
        <f>P55+P56</f>
        <v>899900798</v>
      </c>
      <c r="Q60" s="39">
        <f aca="true" t="shared" si="45" ref="Q60:X60">Q55+Q56</f>
        <v>-20150631</v>
      </c>
      <c r="R60" s="703">
        <f t="shared" si="45"/>
        <v>106000013.11931127</v>
      </c>
      <c r="S60" s="293">
        <f t="shared" si="45"/>
        <v>98612635</v>
      </c>
      <c r="T60" s="293">
        <f>T55+T56</f>
        <v>98612635</v>
      </c>
      <c r="U60" s="39">
        <f>U55+U56</f>
        <v>98822635</v>
      </c>
      <c r="V60" s="39">
        <f>V55+V56</f>
        <v>100552635</v>
      </c>
      <c r="W60" s="39">
        <f>W55+W56</f>
        <v>96643541</v>
      </c>
      <c r="X60" s="39">
        <f t="shared" si="45"/>
        <v>20150631</v>
      </c>
      <c r="Y60" s="626">
        <f>W60/V60</f>
        <v>0.961123902919103</v>
      </c>
    </row>
    <row r="61" spans="1:25" ht="21.75" customHeight="1" hidden="1" thickBot="1">
      <c r="A61" s="1116" t="s">
        <v>238</v>
      </c>
      <c r="B61" s="1117"/>
      <c r="C61" s="1117"/>
      <c r="D61" s="1117"/>
      <c r="E61" s="455"/>
      <c r="F61" s="455"/>
      <c r="G61" s="455"/>
      <c r="H61" s="455"/>
      <c r="I61" s="455"/>
      <c r="J61" s="456"/>
      <c r="K61" s="861" t="e">
        <f>J61/I61</f>
        <v>#DIV/0!</v>
      </c>
      <c r="L61" s="456"/>
      <c r="M61" s="456"/>
      <c r="N61" s="456"/>
      <c r="O61" s="456"/>
      <c r="P61" s="456"/>
      <c r="Q61" s="456"/>
      <c r="R61" s="801"/>
      <c r="S61" s="455"/>
      <c r="T61" s="455"/>
      <c r="U61" s="456"/>
      <c r="V61" s="456"/>
      <c r="W61" s="456"/>
      <c r="X61" s="456"/>
      <c r="Y61" s="461" t="e">
        <f>W61/V61</f>
        <v>#DIV/0!</v>
      </c>
    </row>
    <row r="62" spans="1:25" ht="21.75" customHeight="1" thickBot="1">
      <c r="A62" s="1129" t="s">
        <v>6</v>
      </c>
      <c r="B62" s="1130"/>
      <c r="C62" s="1130"/>
      <c r="D62" s="1130"/>
      <c r="E62" s="325">
        <f aca="true" t="shared" si="46" ref="E62:J62">E60+E61</f>
        <v>783477310</v>
      </c>
      <c r="F62" s="325">
        <f t="shared" si="46"/>
        <v>783704710</v>
      </c>
      <c r="G62" s="325">
        <f t="shared" si="46"/>
        <v>783874710</v>
      </c>
      <c r="H62" s="325">
        <f t="shared" si="46"/>
        <v>905188018</v>
      </c>
      <c r="I62" s="325">
        <f t="shared" si="46"/>
        <v>996544339</v>
      </c>
      <c r="J62" s="326">
        <f t="shared" si="46"/>
        <v>0</v>
      </c>
      <c r="K62" s="861">
        <f>J62/I62</f>
        <v>0</v>
      </c>
      <c r="L62" s="326">
        <f>L60+L61</f>
        <v>684864675</v>
      </c>
      <c r="M62" s="326">
        <f>M60+M61</f>
        <v>685092075</v>
      </c>
      <c r="N62" s="326">
        <f>N60+N61</f>
        <v>685052075</v>
      </c>
      <c r="O62" s="326">
        <f>O60+O61</f>
        <v>804635383</v>
      </c>
      <c r="P62" s="326">
        <f>P60+P61</f>
        <v>899900798</v>
      </c>
      <c r="Q62" s="326">
        <f aca="true" t="shared" si="47" ref="Q62:X62">Q60+Q61</f>
        <v>-20150631</v>
      </c>
      <c r="R62" s="802">
        <f t="shared" si="47"/>
        <v>106000013.11931127</v>
      </c>
      <c r="S62" s="325">
        <f t="shared" si="47"/>
        <v>98612635</v>
      </c>
      <c r="T62" s="325">
        <f>T60+T61</f>
        <v>98612635</v>
      </c>
      <c r="U62" s="326">
        <f>U60+U61</f>
        <v>98822635</v>
      </c>
      <c r="V62" s="326">
        <f>V60+V61</f>
        <v>100552635</v>
      </c>
      <c r="W62" s="326">
        <f>W60+W61</f>
        <v>96643541</v>
      </c>
      <c r="X62" s="326">
        <f t="shared" si="47"/>
        <v>20150631</v>
      </c>
      <c r="Y62" s="328">
        <f>W62/V62</f>
        <v>0.961123902919103</v>
      </c>
    </row>
    <row r="63" spans="1:25" ht="21.75" customHeight="1">
      <c r="A63" s="458"/>
      <c r="B63" s="459"/>
      <c r="C63" s="459"/>
      <c r="D63" s="459"/>
      <c r="E63" s="460"/>
      <c r="F63" s="460"/>
      <c r="G63" s="460"/>
      <c r="H63" s="460"/>
      <c r="I63" s="460"/>
      <c r="J63" s="794"/>
      <c r="K63" s="460"/>
      <c r="L63" s="460"/>
      <c r="M63" s="460"/>
      <c r="N63" s="460"/>
      <c r="O63" s="794"/>
      <c r="P63" s="460"/>
      <c r="Q63" s="460"/>
      <c r="R63" s="460"/>
      <c r="S63" s="460"/>
      <c r="T63" s="460"/>
      <c r="U63" s="460"/>
      <c r="V63" s="460"/>
      <c r="W63" s="460"/>
      <c r="X63" s="460"/>
      <c r="Y63" s="460"/>
    </row>
    <row r="64" spans="1:22" ht="21.75" customHeight="1">
      <c r="A64" s="49"/>
      <c r="B64" s="90"/>
      <c r="C64" s="90"/>
      <c r="D64" s="90"/>
      <c r="E64" s="268"/>
      <c r="H64" s="267">
        <f>905188018-H62</f>
        <v>0</v>
      </c>
      <c r="K64" s="268"/>
      <c r="L64" s="879"/>
      <c r="T64" s="268"/>
      <c r="U64" s="268"/>
      <c r="V64" s="268"/>
    </row>
    <row r="65" spans="1:22" ht="35.25" customHeight="1">
      <c r="A65" s="49"/>
      <c r="B65" s="90"/>
      <c r="C65" s="90"/>
      <c r="D65" s="90"/>
      <c r="E65" s="880" t="str">
        <f>IF(E62='4.sz.m.ÖNK kiadás'!E39," ","HIBA - eltérő összesen")</f>
        <v> </v>
      </c>
      <c r="F65" s="880" t="str">
        <f>IF(F62='4.sz.m.ÖNK kiadás'!F39," ","HIBA - eltérő összesen")</f>
        <v> </v>
      </c>
      <c r="G65" s="880" t="str">
        <f>IF(G62='4.sz.m.ÖNK kiadás'!G39," ","HIBA - eltérő összesen")</f>
        <v> </v>
      </c>
      <c r="H65" s="880"/>
      <c r="I65" s="880"/>
      <c r="J65" s="880"/>
      <c r="K65" s="268"/>
      <c r="M65" s="268"/>
      <c r="N65" s="268"/>
      <c r="P65" s="268"/>
      <c r="Q65" s="268"/>
      <c r="R65" s="268"/>
      <c r="T65" s="268"/>
      <c r="U65" s="268"/>
      <c r="V65" s="268"/>
    </row>
    <row r="66" spans="1:22" ht="35.25" customHeight="1">
      <c r="A66" s="49"/>
      <c r="B66" s="90"/>
      <c r="C66" s="90"/>
      <c r="D66" s="90"/>
      <c r="E66" s="881" t="str">
        <f>IF(L62+S62=E62," ","HIBA-nincs egyenlőség")</f>
        <v> </v>
      </c>
      <c r="F66" s="881" t="str">
        <f>IF(M62+T62=F62," ","HIBA-nincs egyenlőség")</f>
        <v> </v>
      </c>
      <c r="G66" s="881" t="str">
        <f>IF(N62+U62=G62," ","HIBA-nincs egyenlőség")</f>
        <v> </v>
      </c>
      <c r="H66" s="881"/>
      <c r="I66" s="881"/>
      <c r="J66" s="881"/>
      <c r="K66" s="881"/>
      <c r="L66" s="268"/>
      <c r="M66" s="268"/>
      <c r="N66" s="268"/>
      <c r="O66" s="268"/>
      <c r="P66" s="268"/>
      <c r="Q66" s="268"/>
      <c r="R66" s="268"/>
      <c r="T66" s="268"/>
      <c r="U66" s="268"/>
      <c r="V66" s="268"/>
    </row>
    <row r="67" spans="5:22" ht="12.75"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T67" s="268"/>
      <c r="U67" s="268"/>
      <c r="V67" s="268"/>
    </row>
    <row r="68" spans="5:22" ht="12.75"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T68" s="268"/>
      <c r="U68" s="268"/>
      <c r="V68" s="268"/>
    </row>
    <row r="69" spans="5:22" ht="12.75"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T69" s="268"/>
      <c r="U69" s="268"/>
      <c r="V69" s="268"/>
    </row>
    <row r="70" spans="4:22" ht="12.75">
      <c r="D70" s="56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T70" s="268"/>
      <c r="U70" s="268"/>
      <c r="V70" s="268"/>
    </row>
    <row r="71" spans="4:22" ht="48.75" customHeight="1">
      <c r="D71" s="56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T71" s="268"/>
      <c r="U71" s="268"/>
      <c r="V71" s="268"/>
    </row>
    <row r="72" spans="4:22" ht="46.5" customHeight="1">
      <c r="D72" s="56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T72" s="268"/>
      <c r="U72" s="268"/>
      <c r="V72" s="268"/>
    </row>
    <row r="73" spans="5:22" ht="41.25" customHeight="1"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T73" s="268"/>
      <c r="U73" s="268"/>
      <c r="V73" s="268"/>
    </row>
    <row r="74" spans="5:22" ht="12.75"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T74" s="268"/>
      <c r="U74" s="268"/>
      <c r="V74" s="268"/>
    </row>
    <row r="75" spans="5:22" ht="12.75"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T75" s="268"/>
      <c r="U75" s="268"/>
      <c r="V75" s="268"/>
    </row>
    <row r="76" spans="5:22" ht="12.75"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T76" s="268"/>
      <c r="U76" s="268"/>
      <c r="V76" s="268"/>
    </row>
    <row r="77" spans="5:22" ht="12.75"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T77" s="268"/>
      <c r="U77" s="268"/>
      <c r="V77" s="268"/>
    </row>
    <row r="78" spans="5:22" ht="12.75"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T78" s="268"/>
      <c r="U78" s="268"/>
      <c r="V78" s="268"/>
    </row>
    <row r="79" spans="5:22" ht="12.75"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T79" s="268"/>
      <c r="U79" s="268"/>
      <c r="V79" s="268"/>
    </row>
    <row r="80" spans="5:22" ht="12.75"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T80" s="268"/>
      <c r="U80" s="268"/>
      <c r="V80" s="268"/>
    </row>
    <row r="81" spans="5:22" ht="12.75"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T81" s="268"/>
      <c r="U81" s="268"/>
      <c r="V81" s="268"/>
    </row>
    <row r="82" spans="5:22" ht="12.75">
      <c r="E82" s="268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T82" s="268"/>
      <c r="U82" s="268"/>
      <c r="V82" s="268"/>
    </row>
    <row r="83" spans="5:22" ht="12.75"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T83" s="268"/>
      <c r="U83" s="268"/>
      <c r="V83" s="268"/>
    </row>
    <row r="84" spans="5:22" ht="12.75"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T84" s="268"/>
      <c r="U84" s="268"/>
      <c r="V84" s="268"/>
    </row>
    <row r="85" spans="5:22" ht="12.75">
      <c r="E85" s="268"/>
      <c r="F85" s="268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T85" s="268"/>
      <c r="U85" s="268"/>
      <c r="V85" s="268"/>
    </row>
    <row r="86" spans="5:22" ht="12.75">
      <c r="E86" s="268"/>
      <c r="F86" s="268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T86" s="268"/>
      <c r="U86" s="268"/>
      <c r="V86" s="268"/>
    </row>
    <row r="87" spans="5:22" ht="12.75">
      <c r="E87" s="268"/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T87" s="268"/>
      <c r="U87" s="268"/>
      <c r="V87" s="268"/>
    </row>
    <row r="88" spans="5:22" ht="12.75">
      <c r="E88" s="268"/>
      <c r="F88" s="268"/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T88" s="268"/>
      <c r="U88" s="268"/>
      <c r="V88" s="268"/>
    </row>
    <row r="89" spans="5:22" ht="12.75"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T89" s="268"/>
      <c r="U89" s="268"/>
      <c r="V89" s="268"/>
    </row>
    <row r="90" spans="5:22" ht="12.75">
      <c r="E90" s="268"/>
      <c r="F90" s="268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T90" s="268"/>
      <c r="U90" s="268"/>
      <c r="V90" s="268"/>
    </row>
    <row r="91" spans="5:22" ht="12.75"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T91" s="268"/>
      <c r="U91" s="268"/>
      <c r="V91" s="268"/>
    </row>
    <row r="92" spans="5:22" ht="12.75"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T92" s="268"/>
      <c r="U92" s="268"/>
      <c r="V92" s="268"/>
    </row>
    <row r="93" spans="5:22" ht="12.75">
      <c r="E93" s="268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T93" s="268"/>
      <c r="U93" s="268"/>
      <c r="V93" s="268"/>
    </row>
    <row r="94" spans="5:22" ht="12.75"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T94" s="268"/>
      <c r="U94" s="268"/>
      <c r="V94" s="268"/>
    </row>
    <row r="95" spans="5:22" ht="12.75"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T95" s="268"/>
      <c r="U95" s="268"/>
      <c r="V95" s="268"/>
    </row>
    <row r="96" spans="5:22" ht="12.75"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T96" s="268"/>
      <c r="U96" s="268"/>
      <c r="V96" s="268"/>
    </row>
    <row r="97" spans="5:22" ht="12.75">
      <c r="E97" s="268"/>
      <c r="F97" s="268"/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T97" s="268"/>
      <c r="U97" s="268"/>
      <c r="V97" s="268"/>
    </row>
    <row r="98" spans="5:22" ht="12.75">
      <c r="E98" s="268"/>
      <c r="F98" s="268"/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T98" s="268"/>
      <c r="U98" s="268"/>
      <c r="V98" s="268"/>
    </row>
    <row r="99" spans="5:22" ht="12.75">
      <c r="E99" s="268"/>
      <c r="F99" s="268"/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T99" s="268"/>
      <c r="U99" s="268"/>
      <c r="V99" s="268"/>
    </row>
    <row r="100" spans="5:22" ht="12.75"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T100" s="268"/>
      <c r="U100" s="268"/>
      <c r="V100" s="268"/>
    </row>
    <row r="101" spans="5:22" ht="12.75"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T101" s="268"/>
      <c r="U101" s="268"/>
      <c r="V101" s="268"/>
    </row>
    <row r="102" spans="5:22" ht="12.75">
      <c r="E102" s="268"/>
      <c r="F102" s="268"/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T102" s="268"/>
      <c r="U102" s="268"/>
      <c r="V102" s="268"/>
    </row>
    <row r="103" spans="5:22" ht="12.75">
      <c r="E103" s="268"/>
      <c r="F103" s="268"/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T103" s="268"/>
      <c r="U103" s="268"/>
      <c r="V103" s="268"/>
    </row>
    <row r="104" spans="5:22" ht="12.75"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T104" s="268"/>
      <c r="U104" s="268"/>
      <c r="V104" s="268"/>
    </row>
    <row r="105" spans="5:22" ht="12.75"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T105" s="268"/>
      <c r="U105" s="268"/>
      <c r="V105" s="268"/>
    </row>
    <row r="106" spans="5:22" ht="12.75">
      <c r="E106" s="268"/>
      <c r="F106" s="268"/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T106" s="268"/>
      <c r="U106" s="268"/>
      <c r="V106" s="268"/>
    </row>
    <row r="107" spans="5:22" ht="12.75">
      <c r="E107" s="268"/>
      <c r="F107" s="268"/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T107" s="268"/>
      <c r="U107" s="268"/>
      <c r="V107" s="268"/>
    </row>
    <row r="108" spans="5:22" ht="12.75">
      <c r="E108" s="268"/>
      <c r="F108" s="268"/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T108" s="268"/>
      <c r="U108" s="268"/>
      <c r="V108" s="268"/>
    </row>
    <row r="109" spans="5:22" ht="12.75">
      <c r="E109" s="268"/>
      <c r="F109" s="268"/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T109" s="268"/>
      <c r="U109" s="268"/>
      <c r="V109" s="268"/>
    </row>
    <row r="110" spans="5:22" ht="12.75">
      <c r="E110" s="268"/>
      <c r="F110" s="268"/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T110" s="268"/>
      <c r="U110" s="268"/>
      <c r="V110" s="268"/>
    </row>
    <row r="111" spans="5:22" ht="12.75"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T111" s="268"/>
      <c r="U111" s="268"/>
      <c r="V111" s="268"/>
    </row>
  </sheetData>
  <sheetProtection/>
  <mergeCells count="46">
    <mergeCell ref="A62:D62"/>
    <mergeCell ref="C58:D58"/>
    <mergeCell ref="C50:D50"/>
    <mergeCell ref="C51:D51"/>
    <mergeCell ref="B60:D60"/>
    <mergeCell ref="C59:D59"/>
    <mergeCell ref="B55:D55"/>
    <mergeCell ref="B56:D56"/>
    <mergeCell ref="C57:D57"/>
    <mergeCell ref="B52:D52"/>
    <mergeCell ref="C37:D37"/>
    <mergeCell ref="B41:D41"/>
    <mergeCell ref="C42:D42"/>
    <mergeCell ref="A61:D61"/>
    <mergeCell ref="C47:D47"/>
    <mergeCell ref="C48:D48"/>
    <mergeCell ref="B49:D49"/>
    <mergeCell ref="C53:D53"/>
    <mergeCell ref="C54:D54"/>
    <mergeCell ref="C43:D43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A4:C4"/>
    <mergeCell ref="B6:D6"/>
    <mergeCell ref="B7:D7"/>
    <mergeCell ref="E4:K4"/>
    <mergeCell ref="L4:R4"/>
    <mergeCell ref="S4:Y4"/>
    <mergeCell ref="S1:W1"/>
    <mergeCell ref="C20:D20"/>
    <mergeCell ref="C29:D29"/>
    <mergeCell ref="C30:D30"/>
    <mergeCell ref="C36:D36"/>
    <mergeCell ref="B32:D32"/>
    <mergeCell ref="C33:D33"/>
    <mergeCell ref="C34:D34"/>
    <mergeCell ref="C35:D35"/>
    <mergeCell ref="A2:S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zoomScale="70" zoomScaleNormal="70" zoomScalePageLayoutView="85" workbookViewId="0" topLeftCell="F29">
      <selection activeCell="W35" sqref="W35"/>
    </sheetView>
  </sheetViews>
  <sheetFormatPr defaultColWidth="9.140625" defaultRowHeight="12.75"/>
  <cols>
    <col min="1" max="1" width="5.8515625" style="77" customWidth="1"/>
    <col min="2" max="2" width="8.140625" style="31" customWidth="1"/>
    <col min="3" max="3" width="6.8515625" style="31" customWidth="1"/>
    <col min="4" max="4" width="50.140625" style="18" bestFit="1" customWidth="1"/>
    <col min="5" max="5" width="21.57421875" style="1" customWidth="1"/>
    <col min="6" max="6" width="18.421875" style="1" customWidth="1"/>
    <col min="7" max="7" width="17.00390625" style="1" customWidth="1"/>
    <col min="8" max="8" width="20.421875" style="1" customWidth="1"/>
    <col min="9" max="9" width="22.140625" style="1" customWidth="1"/>
    <col min="10" max="10" width="22.7109375" style="1" hidden="1" customWidth="1"/>
    <col min="11" max="11" width="11.8515625" style="1" hidden="1" customWidth="1"/>
    <col min="12" max="12" width="20.7109375" style="41" customWidth="1"/>
    <col min="13" max="13" width="16.421875" style="41" customWidth="1"/>
    <col min="14" max="14" width="18.28125" style="41" customWidth="1"/>
    <col min="15" max="15" width="15.7109375" style="41" customWidth="1"/>
    <col min="16" max="16" width="17.140625" style="41" customWidth="1"/>
    <col min="17" max="17" width="16.7109375" style="41" hidden="1" customWidth="1"/>
    <col min="18" max="18" width="10.8515625" style="41" hidden="1" customWidth="1"/>
    <col min="19" max="19" width="22.140625" style="41" customWidth="1"/>
    <col min="20" max="20" width="18.28125" style="41" customWidth="1"/>
    <col min="21" max="21" width="15.7109375" style="1" customWidth="1"/>
    <col min="22" max="22" width="17.7109375" style="1" customWidth="1"/>
    <col min="23" max="23" width="19.140625" style="1" customWidth="1"/>
    <col min="24" max="24" width="15.421875" style="1" hidden="1" customWidth="1"/>
    <col min="25" max="25" width="10.28125" style="1" hidden="1" customWidth="1"/>
    <col min="26" max="26" width="9.140625" style="1" hidden="1" customWidth="1"/>
    <col min="27" max="27" width="9.140625" style="1" customWidth="1"/>
    <col min="28" max="28" width="16.421875" style="1" customWidth="1"/>
    <col min="29" max="16384" width="9.140625" style="1" customWidth="1"/>
  </cols>
  <sheetData>
    <row r="1" spans="5:23" ht="15.75">
      <c r="E1" s="1183" t="s">
        <v>550</v>
      </c>
      <c r="F1" s="1183"/>
      <c r="G1" s="1183"/>
      <c r="H1" s="1183"/>
      <c r="I1" s="1183"/>
      <c r="J1" s="1183"/>
      <c r="K1" s="1183"/>
      <c r="L1" s="1183"/>
      <c r="M1" s="1183"/>
      <c r="N1" s="1183"/>
      <c r="O1" s="1183"/>
      <c r="P1" s="1183"/>
      <c r="Q1" s="1183"/>
      <c r="R1" s="1183"/>
      <c r="S1" s="1183"/>
      <c r="T1" s="1183"/>
      <c r="U1" s="1183"/>
      <c r="V1" s="1183"/>
      <c r="W1" s="1183"/>
    </row>
    <row r="2" spans="1:20" ht="37.5" customHeight="1">
      <c r="A2" s="1184" t="s">
        <v>628</v>
      </c>
      <c r="B2" s="1184"/>
      <c r="C2" s="1184"/>
      <c r="D2" s="1184"/>
      <c r="E2" s="1184"/>
      <c r="F2" s="1184"/>
      <c r="G2" s="1184"/>
      <c r="H2" s="1184"/>
      <c r="I2" s="1184"/>
      <c r="J2" s="1184"/>
      <c r="K2" s="1184"/>
      <c r="L2" s="1184"/>
      <c r="M2" s="1184"/>
      <c r="N2" s="1184"/>
      <c r="O2" s="1184"/>
      <c r="P2" s="1184"/>
      <c r="Q2" s="1184"/>
      <c r="R2" s="1184"/>
      <c r="S2" s="1184"/>
      <c r="T2" s="199"/>
    </row>
    <row r="3" spans="1:19" ht="14.25" customHeight="1" thickBot="1">
      <c r="A3" s="49"/>
      <c r="B3" s="76"/>
      <c r="C3" s="76"/>
      <c r="D3" s="82"/>
      <c r="S3" s="88" t="s">
        <v>446</v>
      </c>
    </row>
    <row r="4" spans="1:25" s="2" customFormat="1" ht="48.75" customHeight="1" thickBot="1">
      <c r="A4" s="1154" t="s">
        <v>3</v>
      </c>
      <c r="B4" s="1131"/>
      <c r="C4" s="1131"/>
      <c r="D4" s="1131"/>
      <c r="E4" s="357" t="s">
        <v>4</v>
      </c>
      <c r="F4" s="323"/>
      <c r="G4" s="735"/>
      <c r="H4" s="322"/>
      <c r="I4" s="323"/>
      <c r="J4" s="796"/>
      <c r="K4" s="253"/>
      <c r="L4" s="357" t="s">
        <v>60</v>
      </c>
      <c r="M4" s="323"/>
      <c r="N4" s="735"/>
      <c r="O4" s="322"/>
      <c r="P4" s="323"/>
      <c r="Q4" s="796"/>
      <c r="R4" s="253"/>
      <c r="S4" s="1155" t="s">
        <v>61</v>
      </c>
      <c r="T4" s="1156"/>
      <c r="U4" s="1156"/>
      <c r="V4" s="1156"/>
      <c r="W4" s="1156"/>
      <c r="X4" s="1156"/>
      <c r="Y4" s="1157"/>
    </row>
    <row r="5" spans="1:25" s="2" customFormat="1" ht="16.5" thickBot="1">
      <c r="A5" s="249"/>
      <c r="B5" s="247"/>
      <c r="C5" s="247"/>
      <c r="D5" s="247"/>
      <c r="E5" s="321" t="s">
        <v>64</v>
      </c>
      <c r="F5" s="323" t="s">
        <v>226</v>
      </c>
      <c r="G5" s="735" t="s">
        <v>229</v>
      </c>
      <c r="H5" s="322" t="s">
        <v>231</v>
      </c>
      <c r="I5" s="323" t="s">
        <v>243</v>
      </c>
      <c r="J5" s="735" t="s">
        <v>248</v>
      </c>
      <c r="K5" s="630" t="s">
        <v>235</v>
      </c>
      <c r="L5" s="321" t="s">
        <v>64</v>
      </c>
      <c r="M5" s="323" t="s">
        <v>226</v>
      </c>
      <c r="N5" s="735" t="s">
        <v>229</v>
      </c>
      <c r="O5" s="322" t="s">
        <v>231</v>
      </c>
      <c r="P5" s="323" t="s">
        <v>243</v>
      </c>
      <c r="Q5" s="735" t="s">
        <v>248</v>
      </c>
      <c r="R5" s="630" t="s">
        <v>235</v>
      </c>
      <c r="S5" s="321" t="s">
        <v>64</v>
      </c>
      <c r="T5" s="322" t="s">
        <v>226</v>
      </c>
      <c r="U5" s="322" t="s">
        <v>229</v>
      </c>
      <c r="V5" s="322" t="s">
        <v>231</v>
      </c>
      <c r="W5" s="322" t="s">
        <v>243</v>
      </c>
      <c r="X5" s="322" t="s">
        <v>248</v>
      </c>
      <c r="Y5" s="805" t="s">
        <v>235</v>
      </c>
    </row>
    <row r="6" spans="1:28" s="40" customFormat="1" ht="22.5" customHeight="1" thickBot="1">
      <c r="A6" s="69" t="s">
        <v>26</v>
      </c>
      <c r="B6" s="1142" t="s">
        <v>77</v>
      </c>
      <c r="C6" s="1142"/>
      <c r="D6" s="1142"/>
      <c r="E6" s="293">
        <f aca="true" t="shared" si="0" ref="E6:J6">SUM(E7:E11)</f>
        <v>319915854</v>
      </c>
      <c r="F6" s="293">
        <f t="shared" si="0"/>
        <v>321942249</v>
      </c>
      <c r="G6" s="293">
        <f t="shared" si="0"/>
        <v>333263853</v>
      </c>
      <c r="H6" s="293">
        <f t="shared" si="0"/>
        <v>341887633</v>
      </c>
      <c r="I6" s="293">
        <f t="shared" si="0"/>
        <v>462296975</v>
      </c>
      <c r="J6" s="703">
        <f t="shared" si="0"/>
        <v>0</v>
      </c>
      <c r="K6" s="601">
        <f>I6/H6</f>
        <v>1.3521898143651192</v>
      </c>
      <c r="L6" s="293">
        <f aca="true" t="shared" si="1" ref="L6:T6">SUM(L7:L11)</f>
        <v>244074563</v>
      </c>
      <c r="M6" s="293">
        <f>SUM(M7:M11)</f>
        <v>246100958</v>
      </c>
      <c r="N6" s="293">
        <f>SUM(N7:N11)</f>
        <v>257212562</v>
      </c>
      <c r="O6" s="293">
        <f>SUM(O7:O11)</f>
        <v>264956342</v>
      </c>
      <c r="P6" s="293">
        <f>SUM(P7:P11)</f>
        <v>387880530</v>
      </c>
      <c r="Q6" s="293">
        <f t="shared" si="1"/>
        <v>-1367226</v>
      </c>
      <c r="R6" s="293">
        <f t="shared" si="1"/>
        <v>-4.036847092101211</v>
      </c>
      <c r="S6" s="293">
        <f t="shared" si="1"/>
        <v>75841291</v>
      </c>
      <c r="T6" s="293">
        <f t="shared" si="1"/>
        <v>75841291</v>
      </c>
      <c r="U6" s="293">
        <f aca="true" t="shared" si="2" ref="U6:Z6">SUM(U7:U11)</f>
        <v>76051291</v>
      </c>
      <c r="V6" s="293">
        <f>SUM(V7:V11)</f>
        <v>76931291</v>
      </c>
      <c r="W6" s="293">
        <f>SUM(W7:W11)</f>
        <v>74416445</v>
      </c>
      <c r="X6" s="293">
        <f t="shared" si="2"/>
        <v>19473626</v>
      </c>
      <c r="Y6" s="293">
        <f t="shared" si="2"/>
        <v>17714406.00120204</v>
      </c>
      <c r="Z6" s="293">
        <f t="shared" si="2"/>
        <v>17714407.654385265</v>
      </c>
      <c r="AB6" s="857"/>
    </row>
    <row r="7" spans="1:28" s="4" customFormat="1" ht="22.5" customHeight="1">
      <c r="A7" s="68"/>
      <c r="B7" s="73" t="s">
        <v>35</v>
      </c>
      <c r="C7" s="73"/>
      <c r="D7" s="285" t="s">
        <v>0</v>
      </c>
      <c r="E7" s="289">
        <v>51822710</v>
      </c>
      <c r="F7" s="289">
        <v>53055967</v>
      </c>
      <c r="G7" s="289">
        <v>53055967</v>
      </c>
      <c r="H7" s="289">
        <v>53055967</v>
      </c>
      <c r="I7" s="289">
        <v>53430184</v>
      </c>
      <c r="J7" s="704"/>
      <c r="K7" s="602"/>
      <c r="L7" s="294">
        <f aca="true" t="shared" si="3" ref="L7:P8">E7-S7</f>
        <v>37302710</v>
      </c>
      <c r="M7" s="294">
        <f t="shared" si="3"/>
        <v>38535967</v>
      </c>
      <c r="N7" s="294">
        <f t="shared" si="3"/>
        <v>38535967</v>
      </c>
      <c r="O7" s="294">
        <f t="shared" si="3"/>
        <v>38535967</v>
      </c>
      <c r="P7" s="294">
        <f t="shared" si="3"/>
        <v>38910184</v>
      </c>
      <c r="Q7" s="294">
        <f>J7</f>
        <v>0</v>
      </c>
      <c r="R7" s="294">
        <f>K7</f>
        <v>0</v>
      </c>
      <c r="S7" s="294">
        <v>14520000</v>
      </c>
      <c r="T7" s="294">
        <v>14520000</v>
      </c>
      <c r="U7" s="294">
        <v>14520000</v>
      </c>
      <c r="V7" s="294">
        <v>14520000</v>
      </c>
      <c r="W7" s="294">
        <v>14520000</v>
      </c>
      <c r="X7" s="294">
        <v>14520000</v>
      </c>
      <c r="Y7" s="294">
        <v>14520000</v>
      </c>
      <c r="Z7" s="294">
        <v>14520000</v>
      </c>
      <c r="AB7" s="857"/>
    </row>
    <row r="8" spans="1:28" s="4" customFormat="1" ht="22.5" customHeight="1">
      <c r="A8" s="51"/>
      <c r="B8" s="60" t="s">
        <v>36</v>
      </c>
      <c r="C8" s="60"/>
      <c r="D8" s="286" t="s">
        <v>78</v>
      </c>
      <c r="E8" s="289">
        <v>10195963</v>
      </c>
      <c r="F8" s="289">
        <v>10444924</v>
      </c>
      <c r="G8" s="289">
        <v>10444924</v>
      </c>
      <c r="H8" s="289">
        <v>10444924</v>
      </c>
      <c r="I8" s="289">
        <v>10710622</v>
      </c>
      <c r="J8" s="797"/>
      <c r="K8" s="721"/>
      <c r="L8" s="294">
        <f t="shared" si="3"/>
        <v>7001563</v>
      </c>
      <c r="M8" s="294">
        <f t="shared" si="3"/>
        <v>7250524</v>
      </c>
      <c r="N8" s="289">
        <f t="shared" si="3"/>
        <v>7250524</v>
      </c>
      <c r="O8" s="289">
        <f t="shared" si="3"/>
        <v>7250524</v>
      </c>
      <c r="P8" s="289">
        <f t="shared" si="3"/>
        <v>7516222</v>
      </c>
      <c r="Q8" s="294">
        <f>J8</f>
        <v>0</v>
      </c>
      <c r="R8" s="294">
        <f>K8</f>
        <v>0</v>
      </c>
      <c r="S8" s="289">
        <v>3194400</v>
      </c>
      <c r="T8" s="289">
        <v>3194400</v>
      </c>
      <c r="U8" s="289">
        <v>3194400</v>
      </c>
      <c r="V8" s="289">
        <v>3194400</v>
      </c>
      <c r="W8" s="289">
        <v>3194400</v>
      </c>
      <c r="X8" s="289">
        <v>3194400</v>
      </c>
      <c r="Y8" s="289">
        <v>3194400</v>
      </c>
      <c r="Z8" s="289">
        <v>3194400</v>
      </c>
      <c r="AB8" s="857"/>
    </row>
    <row r="9" spans="1:28" s="4" customFormat="1" ht="22.5" customHeight="1">
      <c r="A9" s="51"/>
      <c r="B9" s="60" t="s">
        <v>37</v>
      </c>
      <c r="C9" s="60"/>
      <c r="D9" s="286" t="s">
        <v>79</v>
      </c>
      <c r="E9" s="289">
        <v>101654785</v>
      </c>
      <c r="F9" s="289">
        <v>102011785</v>
      </c>
      <c r="G9" s="289">
        <v>113123389</v>
      </c>
      <c r="H9" s="289">
        <v>118627169</v>
      </c>
      <c r="I9" s="289">
        <f>249762337-5603240</f>
        <v>244159097</v>
      </c>
      <c r="J9" s="797"/>
      <c r="K9" s="721"/>
      <c r="L9" s="289">
        <f>'8.sz.m.Dologi kiadás (3)'!K42</f>
        <v>55860707</v>
      </c>
      <c r="M9" s="289">
        <f>'8.sz.m.Dologi kiadás (3)'!L42</f>
        <v>56217707</v>
      </c>
      <c r="N9" s="289">
        <f>'8.sz.m.Dologi kiadás (3)'!M42</f>
        <v>67329311</v>
      </c>
      <c r="O9" s="289">
        <f>'8.sz.m.Dologi kiadás (3)'!N42</f>
        <v>73953091</v>
      </c>
      <c r="P9" s="289">
        <f>'8.sz.m.Dologi kiadás (3)'!O42</f>
        <v>199431319</v>
      </c>
      <c r="Q9" s="289">
        <f>'8.sz.m.Dologi kiadás (3)'!P42</f>
        <v>0</v>
      </c>
      <c r="R9" s="289">
        <f>'8.sz.m.Dologi kiadás (3)'!Q42</f>
        <v>0</v>
      </c>
      <c r="S9" s="289">
        <f>'8.sz.m.Dologi kiadás (3)'!R42</f>
        <v>45794078</v>
      </c>
      <c r="T9" s="289">
        <f>'8.sz.m.Dologi kiadás (3)'!S42</f>
        <v>45794078</v>
      </c>
      <c r="U9" s="289">
        <f>'8.sz.m.Dologi kiadás (3)'!T42</f>
        <v>45794078</v>
      </c>
      <c r="V9" s="289">
        <f>'8.sz.m.Dologi kiadás (3)'!U42</f>
        <v>44674078</v>
      </c>
      <c r="W9" s="289">
        <f>'8.sz.m.Dologi kiadás (3)'!V42</f>
        <v>44727778</v>
      </c>
      <c r="X9" s="289">
        <f>'8.sz.m.Dologi kiadás (3)'!W42</f>
        <v>0</v>
      </c>
      <c r="Y9" s="289">
        <f>'8.sz.m.Dologi kiadás (3)'!X42</f>
        <v>1.0012020393571412</v>
      </c>
      <c r="Z9" s="289">
        <f>'8.sz.m.Dologi kiadás (3)'!Y42</f>
        <v>0</v>
      </c>
      <c r="AB9" s="857"/>
    </row>
    <row r="10" spans="1:28" s="4" customFormat="1" ht="22.5" customHeight="1">
      <c r="A10" s="51"/>
      <c r="B10" s="60" t="s">
        <v>48</v>
      </c>
      <c r="C10" s="60"/>
      <c r="D10" s="286" t="s">
        <v>80</v>
      </c>
      <c r="E10" s="289">
        <v>2250000</v>
      </c>
      <c r="F10" s="289">
        <v>2250000</v>
      </c>
      <c r="G10" s="289">
        <v>2250000</v>
      </c>
      <c r="H10" s="289">
        <f>3473000-103000</f>
        <v>3370000</v>
      </c>
      <c r="I10" s="289">
        <f>3473000-103000</f>
        <v>3370000</v>
      </c>
      <c r="J10" s="797"/>
      <c r="K10" s="721"/>
      <c r="L10" s="289">
        <f>SUM('9.sz.m.szociális kiadások (2)'!C10:C15)</f>
        <v>2250000</v>
      </c>
      <c r="M10" s="289">
        <f>SUM('9.sz.m.szociális kiadások (2)'!D10:D15)</f>
        <v>2250000</v>
      </c>
      <c r="N10" s="289">
        <f>SUM('9.sz.m.szociális kiadások (2)'!E10:E15)</f>
        <v>2250000</v>
      </c>
      <c r="O10" s="289">
        <f>SUM('9.sz.m.szociális kiadások (2)'!F10:F15)</f>
        <v>3370000</v>
      </c>
      <c r="P10" s="289">
        <f>SUM('9.sz.m.szociális kiadások (2)'!G10:G15)</f>
        <v>3370000</v>
      </c>
      <c r="Q10" s="289">
        <f>+'9.sz.m.szociális kiadások (2)'!I21+'9.sz.m.szociális kiadások (2)'!I36</f>
        <v>392000</v>
      </c>
      <c r="R10" s="289">
        <f>'9.sz.m.szociális kiadások (2)'!J16+'9.sz.m.szociális kiadások (2)'!J18</f>
        <v>0</v>
      </c>
      <c r="S10" s="289"/>
      <c r="T10" s="289"/>
      <c r="U10" s="289"/>
      <c r="V10" s="289"/>
      <c r="W10" s="289"/>
      <c r="X10" s="289"/>
      <c r="Y10" s="289"/>
      <c r="Z10" s="289"/>
      <c r="AB10" s="857"/>
    </row>
    <row r="11" spans="1:28" s="4" customFormat="1" ht="22.5" customHeight="1">
      <c r="A11" s="51"/>
      <c r="B11" s="60" t="s">
        <v>49</v>
      </c>
      <c r="C11" s="60"/>
      <c r="D11" s="287" t="s">
        <v>82</v>
      </c>
      <c r="E11" s="289">
        <f aca="true" t="shared" si="4" ref="E11:J11">SUM(E12:E16)</f>
        <v>153992396</v>
      </c>
      <c r="F11" s="289">
        <f t="shared" si="4"/>
        <v>154179573</v>
      </c>
      <c r="G11" s="289">
        <f t="shared" si="4"/>
        <v>154389573</v>
      </c>
      <c r="H11" s="289">
        <f t="shared" si="4"/>
        <v>156389573</v>
      </c>
      <c r="I11" s="289">
        <f t="shared" si="4"/>
        <v>150627072</v>
      </c>
      <c r="J11" s="797">
        <f t="shared" si="4"/>
        <v>0</v>
      </c>
      <c r="K11" s="721">
        <f>I11/H11</f>
        <v>0.9631529078987894</v>
      </c>
      <c r="L11" s="289">
        <f aca="true" t="shared" si="5" ref="L11:R11">E11-S11</f>
        <v>141659583</v>
      </c>
      <c r="M11" s="289">
        <f t="shared" si="5"/>
        <v>141846760</v>
      </c>
      <c r="N11" s="289">
        <f t="shared" si="5"/>
        <v>141846760</v>
      </c>
      <c r="O11" s="289">
        <f t="shared" si="5"/>
        <v>141846760</v>
      </c>
      <c r="P11" s="289">
        <f t="shared" si="5"/>
        <v>138652805</v>
      </c>
      <c r="Q11" s="289">
        <f t="shared" si="5"/>
        <v>-1759226</v>
      </c>
      <c r="R11" s="289">
        <f t="shared" si="5"/>
        <v>-4.036847092101211</v>
      </c>
      <c r="S11" s="289">
        <f>SUM(S12:S16)</f>
        <v>12332813</v>
      </c>
      <c r="T11" s="289">
        <f>SUM(T12:T16)</f>
        <v>12332813</v>
      </c>
      <c r="U11" s="289">
        <f aca="true" t="shared" si="6" ref="U11:Z11">SUM(U12:U16)</f>
        <v>12542813</v>
      </c>
      <c r="V11" s="289">
        <f>SUM(V12:V16)</f>
        <v>14542813</v>
      </c>
      <c r="W11" s="289">
        <f>SUM(W12:W16)</f>
        <v>11974267</v>
      </c>
      <c r="X11" s="289">
        <f t="shared" si="6"/>
        <v>1759226</v>
      </c>
      <c r="Y11" s="289">
        <f t="shared" si="6"/>
        <v>5</v>
      </c>
      <c r="Z11" s="289">
        <f t="shared" si="6"/>
        <v>7.654385263514029</v>
      </c>
      <c r="AB11" s="857"/>
    </row>
    <row r="12" spans="1:28" s="4" customFormat="1" ht="22.5" customHeight="1">
      <c r="A12" s="51"/>
      <c r="B12" s="81"/>
      <c r="C12" s="60" t="s">
        <v>81</v>
      </c>
      <c r="D12" s="286" t="s">
        <v>275</v>
      </c>
      <c r="E12" s="289"/>
      <c r="F12" s="289">
        <v>187177</v>
      </c>
      <c r="G12" s="289">
        <v>187177</v>
      </c>
      <c r="H12" s="289">
        <v>187177</v>
      </c>
      <c r="I12" s="289">
        <v>187177</v>
      </c>
      <c r="J12" s="797"/>
      <c r="K12" s="721"/>
      <c r="L12" s="294">
        <f aca="true" t="shared" si="7" ref="L12:R12">E12</f>
        <v>0</v>
      </c>
      <c r="M12" s="294">
        <f t="shared" si="7"/>
        <v>187177</v>
      </c>
      <c r="N12" s="289">
        <f t="shared" si="7"/>
        <v>187177</v>
      </c>
      <c r="O12" s="289">
        <f t="shared" si="7"/>
        <v>187177</v>
      </c>
      <c r="P12" s="289">
        <f t="shared" si="7"/>
        <v>187177</v>
      </c>
      <c r="Q12" s="294">
        <f t="shared" si="7"/>
        <v>0</v>
      </c>
      <c r="R12" s="294">
        <f t="shared" si="7"/>
        <v>0</v>
      </c>
      <c r="S12" s="289">
        <v>0</v>
      </c>
      <c r="T12" s="289">
        <v>0</v>
      </c>
      <c r="U12" s="289">
        <v>0</v>
      </c>
      <c r="V12" s="289">
        <v>0</v>
      </c>
      <c r="W12" s="289">
        <v>0</v>
      </c>
      <c r="X12" s="289">
        <v>4</v>
      </c>
      <c r="Y12" s="289">
        <v>5</v>
      </c>
      <c r="Z12" s="289">
        <v>6</v>
      </c>
      <c r="AB12" s="857"/>
    </row>
    <row r="13" spans="1:28" s="4" customFormat="1" ht="31.5" customHeight="1">
      <c r="A13" s="51"/>
      <c r="B13" s="60"/>
      <c r="C13" s="60" t="s">
        <v>83</v>
      </c>
      <c r="D13" s="286" t="s">
        <v>276</v>
      </c>
      <c r="E13" s="289">
        <v>11041025</v>
      </c>
      <c r="F13" s="289">
        <v>11041025</v>
      </c>
      <c r="G13" s="289">
        <v>11251025</v>
      </c>
      <c r="H13" s="289">
        <v>13251025</v>
      </c>
      <c r="I13" s="289">
        <v>10899721</v>
      </c>
      <c r="J13" s="797"/>
      <c r="K13" s="721"/>
      <c r="L13" s="289">
        <f>'10.sz.m.átadott pe (3)'!B60</f>
        <v>0</v>
      </c>
      <c r="M13" s="289">
        <f>'10.sz.m.átadott pe (3)'!C60</f>
        <v>0</v>
      </c>
      <c r="N13" s="289">
        <f>'10.sz.m.átadott pe (3)'!D60</f>
        <v>0</v>
      </c>
      <c r="O13" s="289">
        <f>'10.sz.m.átadott pe (3)'!E60</f>
        <v>0</v>
      </c>
      <c r="P13" s="289">
        <f>'10.sz.m.átadott pe (3)'!F60</f>
        <v>0</v>
      </c>
      <c r="Q13" s="289">
        <f>'10.sz.m.átadott pe (3)'!G60</f>
        <v>0</v>
      </c>
      <c r="R13" s="289">
        <f>'10.sz.m.átadott pe (3)'!H60</f>
        <v>0</v>
      </c>
      <c r="S13" s="289">
        <f>'10.sz.m.átadott pe (3)'!I60</f>
        <v>11041025</v>
      </c>
      <c r="T13" s="289">
        <f>'10.sz.m.átadott pe (3)'!J60</f>
        <v>11041025</v>
      </c>
      <c r="U13" s="289">
        <f>'10.sz.m.átadott pe (3)'!K60</f>
        <v>11251025</v>
      </c>
      <c r="V13" s="289">
        <f>'10.sz.m.átadott pe (3)'!L60</f>
        <v>13251025</v>
      </c>
      <c r="W13" s="289">
        <f>'10.sz.m.átadott pe (3)'!M60</f>
        <v>10899721</v>
      </c>
      <c r="X13" s="289">
        <f>'10.sz.m.átadott pe (3)'!N60</f>
        <v>0</v>
      </c>
      <c r="Y13" s="289">
        <f>'10.sz.m.átadott pe (3)'!O60</f>
        <v>0</v>
      </c>
      <c r="Z13" s="289">
        <f>'10.sz.m.átadott pe (3)'!P60</f>
        <v>0.8225568210761054</v>
      </c>
      <c r="AB13" s="857"/>
    </row>
    <row r="14" spans="1:28" s="4" customFormat="1" ht="36.75" customHeight="1" thickBot="1">
      <c r="A14" s="78"/>
      <c r="B14" s="79"/>
      <c r="C14" s="60" t="s">
        <v>84</v>
      </c>
      <c r="D14" s="286" t="s">
        <v>277</v>
      </c>
      <c r="E14" s="289">
        <v>142951371</v>
      </c>
      <c r="F14" s="289">
        <v>142951371</v>
      </c>
      <c r="G14" s="289">
        <v>142951371</v>
      </c>
      <c r="H14" s="289">
        <v>142951371</v>
      </c>
      <c r="I14" s="289">
        <v>139540174</v>
      </c>
      <c r="J14" s="797"/>
      <c r="K14" s="721"/>
      <c r="L14" s="289">
        <f>'10.sz.m.átadott pe (3)'!B88</f>
        <v>141659583</v>
      </c>
      <c r="M14" s="289">
        <f>'10.sz.m.átadott pe (3)'!C88</f>
        <v>141659583</v>
      </c>
      <c r="N14" s="289">
        <f>'10.sz.m.átadott pe (3)'!D88</f>
        <v>141659583</v>
      </c>
      <c r="O14" s="289">
        <f>'10.sz.m.átadott pe (3)'!E88</f>
        <v>141659583</v>
      </c>
      <c r="P14" s="289">
        <f>'10.sz.m.átadott pe (3)'!F88</f>
        <v>138465628</v>
      </c>
      <c r="Q14" s="289">
        <f>'10.sz.m.átadott pe (3)'!G88</f>
        <v>530000</v>
      </c>
      <c r="R14" s="289">
        <f>'10.sz.m.átadott pe (3)'!H88</f>
        <v>0.9774533079064619</v>
      </c>
      <c r="S14" s="289">
        <f>'10.sz.m.átadott pe (3)'!I88</f>
        <v>1291788</v>
      </c>
      <c r="T14" s="289">
        <f>'10.sz.m.átadott pe (3)'!J88</f>
        <v>1291788</v>
      </c>
      <c r="U14" s="289">
        <f>'10.sz.m.átadott pe (3)'!K88</f>
        <v>1291788</v>
      </c>
      <c r="V14" s="289">
        <f>'10.sz.m.átadott pe (3)'!L88</f>
        <v>1291788</v>
      </c>
      <c r="W14" s="289">
        <f>'10.sz.m.átadott pe (3)'!M88</f>
        <v>1074546</v>
      </c>
      <c r="X14" s="289">
        <f>'10.sz.m.átadott pe (3)'!N88</f>
        <v>1759222</v>
      </c>
      <c r="Y14" s="289">
        <f>'10.sz.m.átadott pe (3)'!O88</f>
        <v>0</v>
      </c>
      <c r="Z14" s="289">
        <f>'10.sz.m.átadott pe (3)'!P88</f>
        <v>0.8318284424379232</v>
      </c>
      <c r="AB14" s="857"/>
    </row>
    <row r="15" spans="1:28" s="4" customFormat="1" ht="22.5" customHeight="1" hidden="1">
      <c r="A15" s="51"/>
      <c r="B15" s="60"/>
      <c r="C15" s="60" t="s">
        <v>87</v>
      </c>
      <c r="D15" s="286" t="s">
        <v>89</v>
      </c>
      <c r="E15" s="289"/>
      <c r="F15" s="289"/>
      <c r="G15" s="289"/>
      <c r="H15" s="289"/>
      <c r="I15" s="289"/>
      <c r="J15" s="797"/>
      <c r="K15" s="721" t="e">
        <f>I15/H15</f>
        <v>#DIV/0!</v>
      </c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B15" s="857"/>
    </row>
    <row r="16" spans="1:28" s="4" customFormat="1" ht="22.5" customHeight="1" hidden="1" thickBot="1">
      <c r="A16" s="83"/>
      <c r="B16" s="74"/>
      <c r="C16" s="74" t="s">
        <v>88</v>
      </c>
      <c r="D16" s="288" t="s">
        <v>90</v>
      </c>
      <c r="E16" s="298"/>
      <c r="F16" s="298"/>
      <c r="G16" s="298"/>
      <c r="H16" s="298"/>
      <c r="I16" s="298"/>
      <c r="J16" s="707"/>
      <c r="K16" s="604" t="e">
        <f>I16/H16</f>
        <v>#DIV/0!</v>
      </c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B16" s="857"/>
    </row>
    <row r="17" spans="1:26" s="4" customFormat="1" ht="22.5" customHeight="1" thickBot="1">
      <c r="A17" s="69" t="s">
        <v>27</v>
      </c>
      <c r="B17" s="1142" t="s">
        <v>91</v>
      </c>
      <c r="C17" s="1142"/>
      <c r="D17" s="1142"/>
      <c r="E17" s="293">
        <f aca="true" t="shared" si="8" ref="E17:J17">SUM(E18:E20)</f>
        <v>126658407</v>
      </c>
      <c r="F17" s="293">
        <f t="shared" si="8"/>
        <v>127158496</v>
      </c>
      <c r="G17" s="293">
        <f t="shared" si="8"/>
        <v>127158496</v>
      </c>
      <c r="H17" s="293">
        <f t="shared" si="8"/>
        <v>240363719</v>
      </c>
      <c r="I17" s="293">
        <f t="shared" si="8"/>
        <v>290263998</v>
      </c>
      <c r="J17" s="703">
        <f t="shared" si="8"/>
        <v>0</v>
      </c>
      <c r="K17" s="601">
        <f>I17/H17</f>
        <v>1.2076032073709093</v>
      </c>
      <c r="L17" s="293">
        <f aca="true" t="shared" si="9" ref="L17:S17">SUM(L18:L20)</f>
        <v>112542963</v>
      </c>
      <c r="M17" s="293">
        <f>SUM(M18:M20)</f>
        <v>113043052</v>
      </c>
      <c r="N17" s="293">
        <f>SUM(N18:N20)</f>
        <v>113043052</v>
      </c>
      <c r="O17" s="293">
        <f>SUM(O18:O20)</f>
        <v>225398275</v>
      </c>
      <c r="P17" s="293">
        <f>SUM(P18:P20)</f>
        <v>274878554</v>
      </c>
      <c r="Q17" s="293" t="e">
        <f t="shared" si="9"/>
        <v>#REF!</v>
      </c>
      <c r="R17" s="293" t="e">
        <f t="shared" si="9"/>
        <v>#REF!</v>
      </c>
      <c r="S17" s="293">
        <f t="shared" si="9"/>
        <v>14115444</v>
      </c>
      <c r="T17" s="293">
        <f>SUM(T18:T20)</f>
        <v>14115444</v>
      </c>
      <c r="U17" s="293">
        <f aca="true" t="shared" si="10" ref="U17:Z17">SUM(U18:U20)</f>
        <v>14115444</v>
      </c>
      <c r="V17" s="293">
        <f>SUM(V18:V20)</f>
        <v>14965444</v>
      </c>
      <c r="W17" s="293">
        <f>SUM(W18:W20)</f>
        <v>15385444</v>
      </c>
      <c r="X17" s="293">
        <f t="shared" si="10"/>
        <v>1027472</v>
      </c>
      <c r="Y17" s="293" t="e">
        <f t="shared" si="10"/>
        <v>#DIV/0!</v>
      </c>
      <c r="Z17" s="293">
        <f t="shared" si="10"/>
        <v>-2066507</v>
      </c>
    </row>
    <row r="18" spans="1:26" s="4" customFormat="1" ht="22.5" customHeight="1">
      <c r="A18" s="68"/>
      <c r="B18" s="73" t="s">
        <v>38</v>
      </c>
      <c r="C18" s="1149" t="s">
        <v>92</v>
      </c>
      <c r="D18" s="1149"/>
      <c r="E18" s="294">
        <v>44154059</v>
      </c>
      <c r="F18" s="294">
        <v>44654059</v>
      </c>
      <c r="G18" s="294">
        <v>44654059</v>
      </c>
      <c r="H18" s="294">
        <v>80818682</v>
      </c>
      <c r="I18" s="294">
        <v>88637672</v>
      </c>
      <c r="J18" s="704"/>
      <c r="K18" s="602"/>
      <c r="L18" s="294">
        <f aca="true" t="shared" si="11" ref="L18:P19">+E18-S18</f>
        <v>41031747</v>
      </c>
      <c r="M18" s="294">
        <f t="shared" si="11"/>
        <v>41531747</v>
      </c>
      <c r="N18" s="294">
        <f t="shared" si="11"/>
        <v>41531747</v>
      </c>
      <c r="O18" s="294">
        <f t="shared" si="11"/>
        <v>77696370</v>
      </c>
      <c r="P18" s="294">
        <f t="shared" si="11"/>
        <v>85515360</v>
      </c>
      <c r="Q18" s="294" t="e">
        <f>#REF!</f>
        <v>#REF!</v>
      </c>
      <c r="R18" s="294" t="e">
        <f>#REF!</f>
        <v>#REF!</v>
      </c>
      <c r="S18" s="294">
        <f>+'7.a.sz.m.fejlesztés (4)'!D13</f>
        <v>3122312</v>
      </c>
      <c r="T18" s="294">
        <f>+'7.a.sz.m.fejlesztés (4)'!E13</f>
        <v>3122312</v>
      </c>
      <c r="U18" s="294">
        <f>+'7.a.sz.m.fejlesztés (4)'!F13</f>
        <v>3122312</v>
      </c>
      <c r="V18" s="294">
        <f>+'7.a.sz.m.fejlesztés (4)'!G13</f>
        <v>3122312</v>
      </c>
      <c r="W18" s="294">
        <f>+'7.a.sz.m.fejlesztés (4)'!H13</f>
        <v>3122312</v>
      </c>
      <c r="X18" s="294">
        <f>+'7.a.sz.m.fejlesztés (4)'!J13</f>
        <v>554095</v>
      </c>
      <c r="Y18" s="294">
        <f>+'7.a.sz.m.fejlesztés (4)'!K13</f>
        <v>2606300</v>
      </c>
      <c r="Z18" s="294" t="str">
        <f>+'7.a.sz.m.fejlesztés (4)'!L13</f>
        <v> </v>
      </c>
    </row>
    <row r="19" spans="1:26" s="4" customFormat="1" ht="22.5" customHeight="1">
      <c r="A19" s="51"/>
      <c r="B19" s="60" t="s">
        <v>39</v>
      </c>
      <c r="C19" s="1140" t="s">
        <v>93</v>
      </c>
      <c r="D19" s="1140"/>
      <c r="E19" s="289">
        <v>75804348</v>
      </c>
      <c r="F19" s="289">
        <v>75804348</v>
      </c>
      <c r="G19" s="289">
        <v>75804348</v>
      </c>
      <c r="H19" s="289">
        <v>151989948</v>
      </c>
      <c r="I19" s="289">
        <f>188047997+5603240</f>
        <v>193651237</v>
      </c>
      <c r="J19" s="797"/>
      <c r="K19" s="721"/>
      <c r="L19" s="294">
        <f t="shared" si="11"/>
        <v>71511216</v>
      </c>
      <c r="M19" s="294">
        <f t="shared" si="11"/>
        <v>71511216</v>
      </c>
      <c r="N19" s="289">
        <f t="shared" si="11"/>
        <v>71511216</v>
      </c>
      <c r="O19" s="289">
        <f t="shared" si="11"/>
        <v>147696816</v>
      </c>
      <c r="P19" s="289">
        <f t="shared" si="11"/>
        <v>189358105</v>
      </c>
      <c r="Q19" s="289" t="e">
        <f>#REF!</f>
        <v>#REF!</v>
      </c>
      <c r="R19" s="289" t="e">
        <f>#REF!</f>
        <v>#REF!</v>
      </c>
      <c r="S19" s="289">
        <f>+'7.a.sz.m.fejlesztés (4)'!D41</f>
        <v>4293132</v>
      </c>
      <c r="T19" s="289">
        <f>+'7.a.sz.m.fejlesztés (4)'!E41</f>
        <v>4293132</v>
      </c>
      <c r="U19" s="289">
        <f>+'7.a.sz.m.fejlesztés (4)'!F41</f>
        <v>4293132</v>
      </c>
      <c r="V19" s="289">
        <f>+'7.a.sz.m.fejlesztés (4)'!G41</f>
        <v>4293132</v>
      </c>
      <c r="W19" s="289">
        <f>+'7.a.sz.m.fejlesztés (4)'!H41</f>
        <v>4293132</v>
      </c>
      <c r="X19" s="289">
        <f>+'7.a.sz.m.fejlesztés (4)'!J41</f>
        <v>473377</v>
      </c>
      <c r="Y19" s="289">
        <f>+'7.a.sz.m.fejlesztés (4)'!K41</f>
        <v>2226625</v>
      </c>
      <c r="Z19" s="289">
        <f>+'7.a.sz.m.fejlesztés (4)'!L41</f>
        <v>-2066507</v>
      </c>
    </row>
    <row r="20" spans="1:26" s="4" customFormat="1" ht="22.5" customHeight="1">
      <c r="A20" s="80"/>
      <c r="B20" s="60" t="s">
        <v>40</v>
      </c>
      <c r="C20" s="1112" t="s">
        <v>94</v>
      </c>
      <c r="D20" s="1112"/>
      <c r="E20" s="289">
        <f aca="true" t="shared" si="12" ref="E20:L20">SUM(E21:E24)</f>
        <v>6700000</v>
      </c>
      <c r="F20" s="289">
        <f>SUM(F21:F24)</f>
        <v>6700089</v>
      </c>
      <c r="G20" s="289">
        <f>SUM(G21:G24)</f>
        <v>6700089</v>
      </c>
      <c r="H20" s="289">
        <f>SUM(H21:H24)</f>
        <v>7555089</v>
      </c>
      <c r="I20" s="289">
        <f>SUM(I21:I24)</f>
        <v>7975089</v>
      </c>
      <c r="J20" s="797">
        <f t="shared" si="12"/>
        <v>0</v>
      </c>
      <c r="K20" s="289">
        <f t="shared" si="12"/>
        <v>0</v>
      </c>
      <c r="L20" s="289">
        <f t="shared" si="12"/>
        <v>0</v>
      </c>
      <c r="M20" s="289">
        <f aca="true" t="shared" si="13" ref="M20:T20">SUM(M21:M24)</f>
        <v>89</v>
      </c>
      <c r="N20" s="289">
        <f>SUM(N21:N24)</f>
        <v>89</v>
      </c>
      <c r="O20" s="289">
        <f>SUM(O21:O24)</f>
        <v>5089</v>
      </c>
      <c r="P20" s="289">
        <f>SUM(P21:P24)</f>
        <v>5089</v>
      </c>
      <c r="Q20" s="289">
        <f t="shared" si="13"/>
        <v>0</v>
      </c>
      <c r="R20" s="289" t="e">
        <f t="shared" si="13"/>
        <v>#DIV/0!</v>
      </c>
      <c r="S20" s="289">
        <f t="shared" si="13"/>
        <v>6700000</v>
      </c>
      <c r="T20" s="289">
        <f t="shared" si="13"/>
        <v>6700000</v>
      </c>
      <c r="U20" s="289">
        <f aca="true" t="shared" si="14" ref="U20:Z20">SUM(U21:U24)</f>
        <v>6700000</v>
      </c>
      <c r="V20" s="289">
        <f>SUM(V21:V24)</f>
        <v>7550000</v>
      </c>
      <c r="W20" s="289">
        <f>SUM(W21:W24)</f>
        <v>7970000</v>
      </c>
      <c r="X20" s="289">
        <f t="shared" si="14"/>
        <v>0</v>
      </c>
      <c r="Y20" s="289" t="e">
        <f t="shared" si="14"/>
        <v>#DIV/0!</v>
      </c>
      <c r="Z20" s="289">
        <f t="shared" si="14"/>
        <v>0</v>
      </c>
    </row>
    <row r="21" spans="1:26" s="4" customFormat="1" ht="22.5" customHeight="1">
      <c r="A21" s="57"/>
      <c r="B21" s="61"/>
      <c r="C21" s="61" t="s">
        <v>95</v>
      </c>
      <c r="D21" s="201" t="s">
        <v>85</v>
      </c>
      <c r="E21" s="289">
        <v>6700000</v>
      </c>
      <c r="F21" s="289">
        <v>6700000</v>
      </c>
      <c r="G21" s="289">
        <v>6700000</v>
      </c>
      <c r="H21" s="289">
        <f>5850000+1700000</f>
        <v>7550000</v>
      </c>
      <c r="I21" s="289">
        <f>6200000+1770000</f>
        <v>7970000</v>
      </c>
      <c r="J21" s="797"/>
      <c r="K21" s="721"/>
      <c r="L21" s="289">
        <f aca="true" t="shared" si="15" ref="L21:R21">E21-S21</f>
        <v>0</v>
      </c>
      <c r="M21" s="289">
        <f t="shared" si="15"/>
        <v>0</v>
      </c>
      <c r="N21" s="289">
        <f t="shared" si="15"/>
        <v>0</v>
      </c>
      <c r="O21" s="289">
        <f t="shared" si="15"/>
        <v>0</v>
      </c>
      <c r="P21" s="289">
        <f t="shared" si="15"/>
        <v>0</v>
      </c>
      <c r="Q21" s="289">
        <f t="shared" si="15"/>
        <v>0</v>
      </c>
      <c r="R21" s="289" t="e">
        <f t="shared" si="15"/>
        <v>#DIV/0!</v>
      </c>
      <c r="S21" s="289">
        <f>'10.sz.m.átadott pe (3)'!V60</f>
        <v>6700000</v>
      </c>
      <c r="T21" s="289">
        <f>'10.sz.m.átadott pe (3)'!W60</f>
        <v>6700000</v>
      </c>
      <c r="U21" s="289">
        <f>'10.sz.m.átadott pe (3)'!X60</f>
        <v>6700000</v>
      </c>
      <c r="V21" s="289">
        <f>'10.sz.m.átadott pe (3)'!Y60</f>
        <v>7550000</v>
      </c>
      <c r="W21" s="289">
        <f>'10.sz.m.átadott pe (3)'!Z60</f>
        <v>7970000</v>
      </c>
      <c r="X21" s="289">
        <f>'10.sz.m.átadott pe (3)'!AA60</f>
        <v>0</v>
      </c>
      <c r="Y21" s="289" t="e">
        <f>'10.sz.m.átadott pe (3)'!AB60</f>
        <v>#DIV/0!</v>
      </c>
      <c r="Z21" s="289">
        <f>'10.sz.m.átadott pe (3)'!AC60</f>
        <v>0</v>
      </c>
    </row>
    <row r="22" spans="1:26" s="4" customFormat="1" ht="22.5" customHeight="1">
      <c r="A22" s="57"/>
      <c r="B22" s="61"/>
      <c r="C22" s="61" t="s">
        <v>96</v>
      </c>
      <c r="D22" s="201" t="s">
        <v>86</v>
      </c>
      <c r="E22" s="289"/>
      <c r="F22" s="994">
        <v>89</v>
      </c>
      <c r="G22" s="994">
        <v>89</v>
      </c>
      <c r="H22" s="994">
        <v>5089</v>
      </c>
      <c r="I22" s="994">
        <v>5089</v>
      </c>
      <c r="J22" s="797"/>
      <c r="K22" s="721"/>
      <c r="L22" s="289">
        <v>0</v>
      </c>
      <c r="M22" s="289">
        <f>+'10.sz.m.átadott pe (3)'!R88</f>
        <v>89</v>
      </c>
      <c r="N22" s="289">
        <f>+'10.sz.m.átadott pe (3)'!S88</f>
        <v>89</v>
      </c>
      <c r="O22" s="289">
        <f>+'10.sz.m.átadott pe (3)'!T88</f>
        <v>5089</v>
      </c>
      <c r="P22" s="289">
        <f>+'10.sz.m.átadott pe (3)'!U88</f>
        <v>5089</v>
      </c>
      <c r="Q22" s="289">
        <v>0</v>
      </c>
      <c r="R22" s="289">
        <v>0</v>
      </c>
      <c r="S22" s="289">
        <v>0</v>
      </c>
      <c r="T22" s="289">
        <v>0</v>
      </c>
      <c r="U22" s="289">
        <v>0</v>
      </c>
      <c r="V22" s="289">
        <v>0</v>
      </c>
      <c r="W22" s="289">
        <v>0</v>
      </c>
      <c r="X22" s="289">
        <v>0</v>
      </c>
      <c r="Y22" s="289">
        <v>0</v>
      </c>
      <c r="Z22" s="289">
        <v>0</v>
      </c>
    </row>
    <row r="23" spans="1:26" s="4" customFormat="1" ht="36.75" customHeight="1">
      <c r="A23" s="80"/>
      <c r="B23" s="201"/>
      <c r="C23" s="61" t="s">
        <v>97</v>
      </c>
      <c r="D23" s="201" t="s">
        <v>476</v>
      </c>
      <c r="E23" s="289"/>
      <c r="F23" s="289"/>
      <c r="G23" s="289"/>
      <c r="H23" s="289"/>
      <c r="I23" s="289"/>
      <c r="J23" s="797"/>
      <c r="K23" s="721"/>
      <c r="L23" s="289">
        <v>0</v>
      </c>
      <c r="M23" s="289">
        <v>0</v>
      </c>
      <c r="N23" s="289">
        <v>0</v>
      </c>
      <c r="O23" s="289">
        <v>0</v>
      </c>
      <c r="P23" s="289">
        <v>0</v>
      </c>
      <c r="Q23" s="289">
        <v>0</v>
      </c>
      <c r="R23" s="289">
        <v>0</v>
      </c>
      <c r="S23" s="289">
        <v>0</v>
      </c>
      <c r="T23" s="289">
        <v>0</v>
      </c>
      <c r="U23" s="289">
        <v>0</v>
      </c>
      <c r="V23" s="289">
        <v>0</v>
      </c>
      <c r="W23" s="289">
        <v>0</v>
      </c>
      <c r="X23" s="289">
        <v>0</v>
      </c>
      <c r="Y23" s="289">
        <v>0</v>
      </c>
      <c r="Z23" s="289">
        <v>0</v>
      </c>
    </row>
    <row r="24" spans="1:26" s="4" customFormat="1" ht="22.5" customHeight="1" thickBot="1">
      <c r="A24" s="224"/>
      <c r="B24" s="225"/>
      <c r="C24" s="226" t="s">
        <v>208</v>
      </c>
      <c r="D24" s="225" t="s">
        <v>209</v>
      </c>
      <c r="E24" s="324">
        <v>0</v>
      </c>
      <c r="F24" s="324">
        <v>0</v>
      </c>
      <c r="G24" s="324">
        <v>0</v>
      </c>
      <c r="H24" s="324">
        <v>0</v>
      </c>
      <c r="I24" s="324">
        <v>0</v>
      </c>
      <c r="J24" s="798">
        <v>0</v>
      </c>
      <c r="K24" s="722"/>
      <c r="L24" s="324">
        <v>0</v>
      </c>
      <c r="M24" s="324">
        <v>0</v>
      </c>
      <c r="N24" s="324">
        <v>0</v>
      </c>
      <c r="O24" s="324">
        <v>0</v>
      </c>
      <c r="P24" s="324">
        <v>0</v>
      </c>
      <c r="Q24" s="324">
        <v>0</v>
      </c>
      <c r="R24" s="324">
        <v>0</v>
      </c>
      <c r="S24" s="324">
        <v>0</v>
      </c>
      <c r="T24" s="324">
        <v>0</v>
      </c>
      <c r="U24" s="324">
        <v>0</v>
      </c>
      <c r="V24" s="324">
        <v>0</v>
      </c>
      <c r="W24" s="324">
        <v>0</v>
      </c>
      <c r="X24" s="324">
        <v>0</v>
      </c>
      <c r="Y24" s="324">
        <v>0</v>
      </c>
      <c r="Z24" s="324">
        <v>0</v>
      </c>
    </row>
    <row r="25" spans="1:26" s="4" customFormat="1" ht="22.5" customHeight="1" thickBot="1">
      <c r="A25" s="69" t="s">
        <v>9</v>
      </c>
      <c r="B25" s="1142" t="s">
        <v>98</v>
      </c>
      <c r="C25" s="1142"/>
      <c r="D25" s="1142"/>
      <c r="E25" s="293">
        <f aca="true" t="shared" si="16" ref="E25:J25">SUM(E26:E28)</f>
        <v>86768299</v>
      </c>
      <c r="F25" s="293">
        <f t="shared" si="16"/>
        <v>79038902</v>
      </c>
      <c r="G25" s="293">
        <f t="shared" si="16"/>
        <v>67762298</v>
      </c>
      <c r="H25" s="293">
        <f t="shared" si="16"/>
        <v>66635603</v>
      </c>
      <c r="I25" s="293">
        <f t="shared" si="16"/>
        <v>0</v>
      </c>
      <c r="J25" s="703">
        <f t="shared" si="16"/>
        <v>0</v>
      </c>
      <c r="K25" s="601">
        <f>I25/H25</f>
        <v>0</v>
      </c>
      <c r="L25" s="293">
        <f aca="true" t="shared" si="17" ref="L25:S25">SUM(L26:L28)</f>
        <v>86768299</v>
      </c>
      <c r="M25" s="293">
        <f>SUM(M26:M28)</f>
        <v>79038902</v>
      </c>
      <c r="N25" s="293">
        <f>SUM(N26:N28)</f>
        <v>67762298</v>
      </c>
      <c r="O25" s="293">
        <f>SUM(O26:O28)</f>
        <v>66635603</v>
      </c>
      <c r="P25" s="293">
        <f>SUM(P26:P28)</f>
        <v>0</v>
      </c>
      <c r="Q25" s="293">
        <f t="shared" si="17"/>
        <v>0</v>
      </c>
      <c r="R25" s="293">
        <f t="shared" si="17"/>
        <v>0</v>
      </c>
      <c r="S25" s="293">
        <f t="shared" si="17"/>
        <v>0</v>
      </c>
      <c r="T25" s="293">
        <f>SUM(T26:T28)</f>
        <v>0</v>
      </c>
      <c r="U25" s="293">
        <f aca="true" t="shared" si="18" ref="U25:Z25">SUM(U26:U28)</f>
        <v>0</v>
      </c>
      <c r="V25" s="293">
        <f>SUM(V26:V28)</f>
        <v>0</v>
      </c>
      <c r="W25" s="293">
        <f>SUM(W26:W28)</f>
        <v>0</v>
      </c>
      <c r="X25" s="293">
        <f t="shared" si="18"/>
        <v>0</v>
      </c>
      <c r="Y25" s="293">
        <f t="shared" si="18"/>
        <v>0</v>
      </c>
      <c r="Z25" s="293">
        <f t="shared" si="18"/>
        <v>0</v>
      </c>
    </row>
    <row r="26" spans="1:26" s="4" customFormat="1" ht="22.5" customHeight="1">
      <c r="A26" s="68"/>
      <c r="B26" s="73" t="s">
        <v>41</v>
      </c>
      <c r="C26" s="1149" t="s">
        <v>2</v>
      </c>
      <c r="D26" s="1149"/>
      <c r="E26" s="294">
        <v>86768299</v>
      </c>
      <c r="F26" s="294">
        <v>79038902</v>
      </c>
      <c r="G26" s="294">
        <v>67762298</v>
      </c>
      <c r="H26" s="294">
        <v>66635603</v>
      </c>
      <c r="I26" s="294">
        <v>0</v>
      </c>
      <c r="J26" s="704">
        <v>0</v>
      </c>
      <c r="K26" s="602"/>
      <c r="L26" s="294">
        <f aca="true" t="shared" si="19" ref="L26:R26">E26</f>
        <v>86768299</v>
      </c>
      <c r="M26" s="294">
        <f t="shared" si="19"/>
        <v>79038902</v>
      </c>
      <c r="N26" s="294">
        <f t="shared" si="19"/>
        <v>67762298</v>
      </c>
      <c r="O26" s="294">
        <f t="shared" si="19"/>
        <v>66635603</v>
      </c>
      <c r="P26" s="294">
        <f t="shared" si="19"/>
        <v>0</v>
      </c>
      <c r="Q26" s="294">
        <f t="shared" si="19"/>
        <v>0</v>
      </c>
      <c r="R26" s="294">
        <f t="shared" si="19"/>
        <v>0</v>
      </c>
      <c r="S26" s="294">
        <v>0</v>
      </c>
      <c r="T26" s="294">
        <v>0</v>
      </c>
      <c r="U26" s="294">
        <v>0</v>
      </c>
      <c r="V26" s="294">
        <v>0</v>
      </c>
      <c r="W26" s="294">
        <v>0</v>
      </c>
      <c r="X26" s="294">
        <v>0</v>
      </c>
      <c r="Y26" s="294">
        <v>0</v>
      </c>
      <c r="Z26" s="294">
        <v>0</v>
      </c>
    </row>
    <row r="27" spans="1:26" s="7" customFormat="1" ht="22.5" customHeight="1">
      <c r="A27" s="78"/>
      <c r="B27" s="60" t="s">
        <v>42</v>
      </c>
      <c r="C27" s="1158" t="s">
        <v>278</v>
      </c>
      <c r="D27" s="1158"/>
      <c r="E27" s="289">
        <v>0</v>
      </c>
      <c r="F27" s="289">
        <v>0</v>
      </c>
      <c r="G27" s="289">
        <v>0</v>
      </c>
      <c r="H27" s="289">
        <v>0</v>
      </c>
      <c r="I27" s="289">
        <v>0</v>
      </c>
      <c r="J27" s="797">
        <v>0</v>
      </c>
      <c r="K27" s="721"/>
      <c r="L27" s="289">
        <v>0</v>
      </c>
      <c r="M27" s="289">
        <v>0</v>
      </c>
      <c r="N27" s="289">
        <v>0</v>
      </c>
      <c r="O27" s="289">
        <v>0</v>
      </c>
      <c r="P27" s="289">
        <v>0</v>
      </c>
      <c r="Q27" s="289">
        <v>0</v>
      </c>
      <c r="R27" s="289">
        <v>0</v>
      </c>
      <c r="S27" s="289">
        <v>0</v>
      </c>
      <c r="T27" s="289">
        <v>0</v>
      </c>
      <c r="U27" s="289">
        <v>0</v>
      </c>
      <c r="V27" s="289">
        <v>0</v>
      </c>
      <c r="W27" s="289">
        <v>0</v>
      </c>
      <c r="X27" s="289">
        <v>0</v>
      </c>
      <c r="Y27" s="289">
        <v>0</v>
      </c>
      <c r="Z27" s="289">
        <v>0</v>
      </c>
    </row>
    <row r="28" spans="1:26" s="7" customFormat="1" ht="22.5" customHeight="1" thickBot="1">
      <c r="A28" s="84"/>
      <c r="B28" s="74" t="s">
        <v>66</v>
      </c>
      <c r="C28" s="85" t="s">
        <v>99</v>
      </c>
      <c r="D28" s="85"/>
      <c r="E28" s="298">
        <v>0</v>
      </c>
      <c r="F28" s="298">
        <v>0</v>
      </c>
      <c r="G28" s="298">
        <v>0</v>
      </c>
      <c r="H28" s="298">
        <v>0</v>
      </c>
      <c r="I28" s="298">
        <v>0</v>
      </c>
      <c r="J28" s="707">
        <v>0</v>
      </c>
      <c r="K28" s="604"/>
      <c r="L28" s="298">
        <v>0</v>
      </c>
      <c r="M28" s="298">
        <v>0</v>
      </c>
      <c r="N28" s="298">
        <v>0</v>
      </c>
      <c r="O28" s="298">
        <v>0</v>
      </c>
      <c r="P28" s="298">
        <v>0</v>
      </c>
      <c r="Q28" s="298">
        <v>0</v>
      </c>
      <c r="R28" s="298">
        <v>0</v>
      </c>
      <c r="S28" s="298">
        <v>0</v>
      </c>
      <c r="T28" s="298">
        <v>0</v>
      </c>
      <c r="U28" s="298">
        <v>0</v>
      </c>
      <c r="V28" s="298">
        <v>0</v>
      </c>
      <c r="W28" s="298">
        <v>0</v>
      </c>
      <c r="X28" s="298">
        <v>0</v>
      </c>
      <c r="Y28" s="298">
        <v>0</v>
      </c>
      <c r="Z28" s="298">
        <v>0</v>
      </c>
    </row>
    <row r="29" spans="1:26" s="40" customFormat="1" ht="22.5" customHeight="1" thickBot="1">
      <c r="A29" s="48" t="s">
        <v>10</v>
      </c>
      <c r="B29" s="75" t="s">
        <v>100</v>
      </c>
      <c r="C29" s="75"/>
      <c r="D29" s="75"/>
      <c r="E29" s="295">
        <v>0</v>
      </c>
      <c r="F29" s="295">
        <v>0</v>
      </c>
      <c r="G29" s="295">
        <v>0</v>
      </c>
      <c r="H29" s="295">
        <v>0</v>
      </c>
      <c r="I29" s="295">
        <v>0</v>
      </c>
      <c r="J29" s="705">
        <v>0</v>
      </c>
      <c r="K29" s="603"/>
      <c r="L29" s="295">
        <v>0</v>
      </c>
      <c r="M29" s="295">
        <v>0</v>
      </c>
      <c r="N29" s="295">
        <v>0</v>
      </c>
      <c r="O29" s="295">
        <v>0</v>
      </c>
      <c r="P29" s="295">
        <v>0</v>
      </c>
      <c r="Q29" s="295">
        <v>0</v>
      </c>
      <c r="R29" s="295">
        <v>0</v>
      </c>
      <c r="S29" s="295">
        <v>0</v>
      </c>
      <c r="T29" s="295">
        <v>0</v>
      </c>
      <c r="U29" s="295">
        <v>0</v>
      </c>
      <c r="V29" s="295">
        <v>0</v>
      </c>
      <c r="W29" s="295">
        <v>0</v>
      </c>
      <c r="X29" s="295">
        <v>0</v>
      </c>
      <c r="Y29" s="295">
        <v>0</v>
      </c>
      <c r="Z29" s="295">
        <v>0</v>
      </c>
    </row>
    <row r="30" spans="1:26" s="40" customFormat="1" ht="22.5" customHeight="1" hidden="1" thickBot="1">
      <c r="A30" s="69"/>
      <c r="B30" s="1142"/>
      <c r="C30" s="1142"/>
      <c r="D30" s="1142"/>
      <c r="E30" s="632"/>
      <c r="F30" s="632"/>
      <c r="G30" s="632"/>
      <c r="H30" s="632"/>
      <c r="I30" s="632"/>
      <c r="J30" s="799"/>
      <c r="K30" s="723"/>
      <c r="L30" s="632"/>
      <c r="M30" s="632"/>
      <c r="N30" s="632"/>
      <c r="O30" s="632"/>
      <c r="P30" s="632"/>
      <c r="Q30" s="632"/>
      <c r="R30" s="632"/>
      <c r="S30" s="632"/>
      <c r="T30" s="632"/>
      <c r="U30" s="632"/>
      <c r="V30" s="632"/>
      <c r="W30" s="632"/>
      <c r="X30"/>
      <c r="Y30"/>
      <c r="Z30"/>
    </row>
    <row r="31" spans="1:26" s="40" customFormat="1" ht="22.5" customHeight="1" thickBot="1">
      <c r="A31" s="69" t="s">
        <v>11</v>
      </c>
      <c r="B31" s="1130" t="s">
        <v>101</v>
      </c>
      <c r="C31" s="1130"/>
      <c r="D31" s="1130"/>
      <c r="E31" s="293">
        <f aca="true" t="shared" si="20" ref="E31:S31">E6+E17+E25+E29</f>
        <v>533342560</v>
      </c>
      <c r="F31" s="293">
        <f>F6+F17+F25+F29</f>
        <v>528139647</v>
      </c>
      <c r="G31" s="293">
        <f>G6+G17+G25+G29</f>
        <v>528184647</v>
      </c>
      <c r="H31" s="293">
        <f>H6+H17+H25+H29</f>
        <v>648886955</v>
      </c>
      <c r="I31" s="293">
        <f>I6+I17+I25+I29</f>
        <v>752560973</v>
      </c>
      <c r="J31" s="293">
        <f t="shared" si="20"/>
        <v>0</v>
      </c>
      <c r="K31" s="293">
        <f t="shared" si="20"/>
        <v>2.5597930217360285</v>
      </c>
      <c r="L31" s="293">
        <f t="shared" si="20"/>
        <v>443385825</v>
      </c>
      <c r="M31" s="293">
        <f>M6+M17+M25+M29</f>
        <v>438182912</v>
      </c>
      <c r="N31" s="293">
        <f>N6+N17+N25+N29</f>
        <v>438017912</v>
      </c>
      <c r="O31" s="293">
        <f>O6+O17+O25+O29</f>
        <v>556990220</v>
      </c>
      <c r="P31" s="293">
        <f>P6+P17+P25+P29</f>
        <v>662759084</v>
      </c>
      <c r="Q31" s="293" t="e">
        <f t="shared" si="20"/>
        <v>#REF!</v>
      </c>
      <c r="R31" s="293" t="e">
        <f t="shared" si="20"/>
        <v>#REF!</v>
      </c>
      <c r="S31" s="293">
        <f t="shared" si="20"/>
        <v>89956735</v>
      </c>
      <c r="T31" s="293">
        <f>T6+T17+T25+T29</f>
        <v>89956735</v>
      </c>
      <c r="U31" s="293">
        <f aca="true" t="shared" si="21" ref="U31:Z31">U6+U17+U25+U29</f>
        <v>90166735</v>
      </c>
      <c r="V31" s="293">
        <f>V6+V17+V25+V29</f>
        <v>91896735</v>
      </c>
      <c r="W31" s="293">
        <f>W6+W17+W25+W29</f>
        <v>89801889</v>
      </c>
      <c r="X31" s="293">
        <f t="shared" si="21"/>
        <v>20501098</v>
      </c>
      <c r="Y31" s="293" t="e">
        <f t="shared" si="21"/>
        <v>#DIV/0!</v>
      </c>
      <c r="Z31" s="293">
        <f t="shared" si="21"/>
        <v>15647900.654385265</v>
      </c>
    </row>
    <row r="32" spans="1:26" s="40" customFormat="1" ht="22.5" customHeight="1" thickBot="1">
      <c r="A32" s="48" t="s">
        <v>12</v>
      </c>
      <c r="B32" s="1141" t="s">
        <v>102</v>
      </c>
      <c r="C32" s="1141"/>
      <c r="D32" s="1141"/>
      <c r="E32" s="297">
        <f aca="true" t="shared" si="22" ref="E32:J32">SUM(E33:E36)</f>
        <v>250134750</v>
      </c>
      <c r="F32" s="297">
        <f t="shared" si="22"/>
        <v>255565063</v>
      </c>
      <c r="G32" s="297">
        <f t="shared" si="22"/>
        <v>255690063</v>
      </c>
      <c r="H32" s="297">
        <f t="shared" si="22"/>
        <v>256301063</v>
      </c>
      <c r="I32" s="297">
        <f t="shared" si="22"/>
        <v>243983366</v>
      </c>
      <c r="J32" s="706">
        <f t="shared" si="22"/>
        <v>0</v>
      </c>
      <c r="K32" s="297">
        <f aca="true" t="shared" si="23" ref="K32:R32">SUM(K33:K36)</f>
        <v>0</v>
      </c>
      <c r="L32" s="297">
        <f t="shared" si="23"/>
        <v>241478850</v>
      </c>
      <c r="M32" s="297">
        <f>SUM(M33:M36)</f>
        <v>246909163</v>
      </c>
      <c r="N32" s="297">
        <f>SUM(N33:N36)</f>
        <v>247034163</v>
      </c>
      <c r="O32" s="297">
        <f>SUM(O33:O36)</f>
        <v>247645163</v>
      </c>
      <c r="P32" s="297">
        <f>SUM(P33:P36)</f>
        <v>237141714</v>
      </c>
      <c r="Q32" s="297">
        <f t="shared" si="23"/>
        <v>0</v>
      </c>
      <c r="R32" s="297">
        <f t="shared" si="23"/>
        <v>0</v>
      </c>
      <c r="S32" s="297">
        <f>SUM(S33:S35)</f>
        <v>8655900</v>
      </c>
      <c r="T32" s="297">
        <f>SUM(T33:T35)</f>
        <v>8655900</v>
      </c>
      <c r="U32" s="297">
        <f aca="true" t="shared" si="24" ref="U32:Z32">SUM(U33:U35)</f>
        <v>8655900</v>
      </c>
      <c r="V32" s="297">
        <f>SUM(V33:V35)</f>
        <v>8655900</v>
      </c>
      <c r="W32" s="297">
        <f>SUM(W33:W35)</f>
        <v>6841652</v>
      </c>
      <c r="X32" s="297">
        <f t="shared" si="24"/>
        <v>6843890</v>
      </c>
      <c r="Y32" s="297">
        <f t="shared" si="24"/>
        <v>6843890</v>
      </c>
      <c r="Z32" s="297">
        <f t="shared" si="24"/>
        <v>6843890</v>
      </c>
    </row>
    <row r="33" spans="1:26" s="4" customFormat="1" ht="22.5" customHeight="1">
      <c r="A33" s="87"/>
      <c r="B33" s="73" t="s">
        <v>45</v>
      </c>
      <c r="C33" s="1185" t="s">
        <v>280</v>
      </c>
      <c r="D33" s="1185"/>
      <c r="E33" s="294">
        <v>2267801</v>
      </c>
      <c r="F33" s="294">
        <v>2267801</v>
      </c>
      <c r="G33" s="294">
        <v>2267801</v>
      </c>
      <c r="H33" s="294">
        <v>2267801</v>
      </c>
      <c r="I33" s="294">
        <v>2267801</v>
      </c>
      <c r="J33" s="294"/>
      <c r="K33" s="602"/>
      <c r="L33" s="294">
        <f aca="true" t="shared" si="25" ref="L33:P36">E33</f>
        <v>2267801</v>
      </c>
      <c r="M33" s="294">
        <f t="shared" si="25"/>
        <v>2267801</v>
      </c>
      <c r="N33" s="294">
        <f t="shared" si="25"/>
        <v>2267801</v>
      </c>
      <c r="O33" s="294">
        <f t="shared" si="25"/>
        <v>2267801</v>
      </c>
      <c r="P33" s="294">
        <f t="shared" si="25"/>
        <v>2267801</v>
      </c>
      <c r="Q33" s="294">
        <f aca="true" t="shared" si="26" ref="Q33:R36">J33</f>
        <v>0</v>
      </c>
      <c r="R33" s="294">
        <f t="shared" si="26"/>
        <v>0</v>
      </c>
      <c r="S33" s="294"/>
      <c r="T33" s="294"/>
      <c r="U33" s="294"/>
      <c r="V33" s="294"/>
      <c r="W33" s="294"/>
      <c r="X33" s="294"/>
      <c r="Y33" s="294"/>
      <c r="Z33" s="294"/>
    </row>
    <row r="34" spans="1:26" s="4" customFormat="1" ht="22.5" customHeight="1">
      <c r="A34" s="51"/>
      <c r="B34" s="60" t="s">
        <v>322</v>
      </c>
      <c r="C34" s="1140" t="s">
        <v>459</v>
      </c>
      <c r="D34" s="1140"/>
      <c r="E34" s="289"/>
      <c r="F34" s="289"/>
      <c r="G34" s="289"/>
      <c r="H34" s="289"/>
      <c r="I34" s="289"/>
      <c r="J34" s="289"/>
      <c r="K34" s="721"/>
      <c r="L34" s="289">
        <f t="shared" si="25"/>
        <v>0</v>
      </c>
      <c r="M34" s="289">
        <f t="shared" si="25"/>
        <v>0</v>
      </c>
      <c r="N34" s="289">
        <f t="shared" si="25"/>
        <v>0</v>
      </c>
      <c r="O34" s="289">
        <f t="shared" si="25"/>
        <v>0</v>
      </c>
      <c r="P34" s="289">
        <f t="shared" si="25"/>
        <v>0</v>
      </c>
      <c r="Q34" s="289">
        <f t="shared" si="26"/>
        <v>0</v>
      </c>
      <c r="R34" s="289">
        <f t="shared" si="26"/>
        <v>0</v>
      </c>
      <c r="S34" s="289"/>
      <c r="T34" s="289"/>
      <c r="U34" s="289"/>
      <c r="V34" s="289"/>
      <c r="W34" s="289"/>
      <c r="X34" s="289"/>
      <c r="Y34" s="289"/>
      <c r="Z34" s="289"/>
    </row>
    <row r="35" spans="1:26" s="4" customFormat="1" ht="37.5" customHeight="1" thickBot="1">
      <c r="A35" s="507"/>
      <c r="B35" s="508" t="s">
        <v>430</v>
      </c>
      <c r="C35" s="1186" t="s">
        <v>279</v>
      </c>
      <c r="D35" s="1187"/>
      <c r="E35" s="510">
        <v>237554392</v>
      </c>
      <c r="F35" s="510">
        <v>242984705</v>
      </c>
      <c r="G35" s="510">
        <v>243109705</v>
      </c>
      <c r="H35" s="510">
        <v>243720705</v>
      </c>
      <c r="I35" s="510">
        <v>231403008</v>
      </c>
      <c r="J35" s="800"/>
      <c r="K35" s="724"/>
      <c r="L35" s="510">
        <f>E35-S35</f>
        <v>228898492</v>
      </c>
      <c r="M35" s="510">
        <f>F35-T35</f>
        <v>234328805</v>
      </c>
      <c r="N35" s="510">
        <f>G35-U35</f>
        <v>234453805</v>
      </c>
      <c r="O35" s="510">
        <f>H35-V35</f>
        <v>235064805</v>
      </c>
      <c r="P35" s="510">
        <f>I35-W35</f>
        <v>224561356</v>
      </c>
      <c r="Q35" s="510">
        <f t="shared" si="26"/>
        <v>0</v>
      </c>
      <c r="R35" s="510">
        <f t="shared" si="26"/>
        <v>0</v>
      </c>
      <c r="S35" s="510">
        <f>+'5.1 sz. m Köz Hiv'!S27</f>
        <v>8655900</v>
      </c>
      <c r="T35" s="510">
        <f>+'5.1 sz. m Köz Hiv'!T27</f>
        <v>8655900</v>
      </c>
      <c r="U35" s="510">
        <f>+'5.1 sz. m Köz Hiv'!U27</f>
        <v>8655900</v>
      </c>
      <c r="V35" s="510">
        <f>+'5.1 sz. m Köz Hiv'!V27</f>
        <v>8655900</v>
      </c>
      <c r="W35" s="510">
        <f>+'5.1 sz. m Köz Hiv'!W27</f>
        <v>6841652</v>
      </c>
      <c r="X35">
        <f>+'5.1 sz. m Köz Hiv'!Z27</f>
        <v>6843890</v>
      </c>
      <c r="Y35">
        <f>+'5.1 sz. m Köz Hiv'!AA27</f>
        <v>6843890</v>
      </c>
      <c r="Z35">
        <f>+'5.1 sz. m Köz Hiv'!AB27</f>
        <v>6843890</v>
      </c>
    </row>
    <row r="36" spans="1:26" s="4" customFormat="1" ht="22.5" customHeight="1" thickBot="1">
      <c r="A36" s="507"/>
      <c r="B36" s="508" t="s">
        <v>457</v>
      </c>
      <c r="C36" s="509" t="s">
        <v>429</v>
      </c>
      <c r="D36" s="509"/>
      <c r="E36" s="510">
        <v>10312557</v>
      </c>
      <c r="F36" s="510">
        <v>10312557</v>
      </c>
      <c r="G36" s="510">
        <v>10312557</v>
      </c>
      <c r="H36" s="510">
        <v>10312557</v>
      </c>
      <c r="I36" s="510">
        <v>10312557</v>
      </c>
      <c r="J36" s="510"/>
      <c r="K36" s="724"/>
      <c r="L36" s="510">
        <f t="shared" si="25"/>
        <v>10312557</v>
      </c>
      <c r="M36" s="510">
        <f t="shared" si="25"/>
        <v>10312557</v>
      </c>
      <c r="N36" s="510">
        <f t="shared" si="25"/>
        <v>10312557</v>
      </c>
      <c r="O36" s="510">
        <f t="shared" si="25"/>
        <v>10312557</v>
      </c>
      <c r="P36" s="510">
        <f t="shared" si="25"/>
        <v>10312557</v>
      </c>
      <c r="Q36" s="510">
        <f t="shared" si="26"/>
        <v>0</v>
      </c>
      <c r="R36" s="510">
        <f t="shared" si="26"/>
        <v>0</v>
      </c>
      <c r="S36" s="510"/>
      <c r="T36" s="510"/>
      <c r="U36" s="510"/>
      <c r="V36" s="510"/>
      <c r="W36" s="510"/>
      <c r="X36"/>
      <c r="Y36"/>
      <c r="Z36"/>
    </row>
    <row r="37" spans="1:26" s="4" customFormat="1" ht="22.5" customHeight="1" thickBot="1">
      <c r="A37" s="69" t="s">
        <v>458</v>
      </c>
      <c r="B37" s="1130" t="s">
        <v>236</v>
      </c>
      <c r="C37" s="1130"/>
      <c r="D37" s="1130"/>
      <c r="E37" s="293">
        <f aca="true" t="shared" si="27" ref="E37:J37">E31+E32</f>
        <v>783477310</v>
      </c>
      <c r="F37" s="293">
        <f t="shared" si="27"/>
        <v>783704710</v>
      </c>
      <c r="G37" s="293">
        <f t="shared" si="27"/>
        <v>783874710</v>
      </c>
      <c r="H37" s="293">
        <f t="shared" si="27"/>
        <v>905188018</v>
      </c>
      <c r="I37" s="293">
        <f t="shared" si="27"/>
        <v>996544339</v>
      </c>
      <c r="J37" s="703">
        <f t="shared" si="27"/>
        <v>0</v>
      </c>
      <c r="K37" s="601">
        <f>I37/H37</f>
        <v>1.100925243356458</v>
      </c>
      <c r="L37" s="293">
        <f aca="true" t="shared" si="28" ref="L37:S37">L31+L32</f>
        <v>684864675</v>
      </c>
      <c r="M37" s="293">
        <f>M31+M32</f>
        <v>685092075</v>
      </c>
      <c r="N37" s="293">
        <f>N31+N32</f>
        <v>685052075</v>
      </c>
      <c r="O37" s="293">
        <f>O31+O32</f>
        <v>804635383</v>
      </c>
      <c r="P37" s="293">
        <f>P31+P32</f>
        <v>899900798</v>
      </c>
      <c r="Q37" s="293" t="e">
        <f t="shared" si="28"/>
        <v>#REF!</v>
      </c>
      <c r="R37" s="293" t="e">
        <f t="shared" si="28"/>
        <v>#REF!</v>
      </c>
      <c r="S37" s="293">
        <f t="shared" si="28"/>
        <v>98612635</v>
      </c>
      <c r="T37" s="293">
        <f>T31+T32</f>
        <v>98612635</v>
      </c>
      <c r="U37" s="293">
        <f aca="true" t="shared" si="29" ref="U37:Z37">U31+U32</f>
        <v>98822635</v>
      </c>
      <c r="V37" s="293">
        <f>V31+V32</f>
        <v>100552635</v>
      </c>
      <c r="W37" s="293">
        <f>W31+W32</f>
        <v>96643541</v>
      </c>
      <c r="X37" s="293">
        <f t="shared" si="29"/>
        <v>27344988</v>
      </c>
      <c r="Y37" s="293" t="e">
        <f t="shared" si="29"/>
        <v>#DIV/0!</v>
      </c>
      <c r="Z37" s="293">
        <f t="shared" si="29"/>
        <v>22491790.654385265</v>
      </c>
    </row>
    <row r="38" spans="1:26" s="4" customFormat="1" ht="19.5" customHeight="1" hidden="1" thickBot="1">
      <c r="A38" s="1116" t="s">
        <v>237</v>
      </c>
      <c r="B38" s="1117"/>
      <c r="C38" s="1117"/>
      <c r="D38" s="1117"/>
      <c r="E38" s="455"/>
      <c r="F38" s="455"/>
      <c r="G38" s="455"/>
      <c r="H38" s="455"/>
      <c r="I38" s="455"/>
      <c r="J38" s="801"/>
      <c r="K38" s="457" t="e">
        <f>I38/H38</f>
        <v>#DIV/0!</v>
      </c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/>
      <c r="Y38"/>
      <c r="Z38"/>
    </row>
    <row r="39" spans="1:26" s="4" customFormat="1" ht="19.5" customHeight="1" thickBot="1">
      <c r="A39" s="1129" t="s">
        <v>7</v>
      </c>
      <c r="B39" s="1130"/>
      <c r="C39" s="1130"/>
      <c r="D39" s="1130"/>
      <c r="E39" s="325">
        <f aca="true" t="shared" si="30" ref="E39:J39">SUM(E37:E38)</f>
        <v>783477310</v>
      </c>
      <c r="F39" s="325">
        <f t="shared" si="30"/>
        <v>783704710</v>
      </c>
      <c r="G39" s="325">
        <f t="shared" si="30"/>
        <v>783874710</v>
      </c>
      <c r="H39" s="325">
        <f t="shared" si="30"/>
        <v>905188018</v>
      </c>
      <c r="I39" s="325">
        <f t="shared" si="30"/>
        <v>996544339</v>
      </c>
      <c r="J39" s="802">
        <f t="shared" si="30"/>
        <v>0</v>
      </c>
      <c r="K39" s="327">
        <f>I39/H39</f>
        <v>1.100925243356458</v>
      </c>
      <c r="L39" s="325">
        <f aca="true" t="shared" si="31" ref="L39:S39">SUM(L37:L38)</f>
        <v>684864675</v>
      </c>
      <c r="M39" s="325">
        <f>SUM(M37:M38)</f>
        <v>685092075</v>
      </c>
      <c r="N39" s="325">
        <f>SUM(N37:N38)</f>
        <v>685052075</v>
      </c>
      <c r="O39" s="325">
        <f>SUM(O37:O38)</f>
        <v>804635383</v>
      </c>
      <c r="P39" s="325">
        <f>SUM(P37:P38)</f>
        <v>899900798</v>
      </c>
      <c r="Q39" s="325" t="e">
        <f t="shared" si="31"/>
        <v>#REF!</v>
      </c>
      <c r="R39" s="325" t="e">
        <f t="shared" si="31"/>
        <v>#REF!</v>
      </c>
      <c r="S39" s="325">
        <f t="shared" si="31"/>
        <v>98612635</v>
      </c>
      <c r="T39" s="325">
        <f>SUM(T37:T38)</f>
        <v>98612635</v>
      </c>
      <c r="U39" s="325">
        <f aca="true" t="shared" si="32" ref="U39:Z39">SUM(U37:U38)</f>
        <v>98822635</v>
      </c>
      <c r="V39" s="325">
        <f>SUM(V37:V38)</f>
        <v>100552635</v>
      </c>
      <c r="W39" s="325">
        <f>SUM(W37:W38)</f>
        <v>96643541</v>
      </c>
      <c r="X39" s="325">
        <f t="shared" si="32"/>
        <v>27344988</v>
      </c>
      <c r="Y39" s="325" t="e">
        <f t="shared" si="32"/>
        <v>#DIV/0!</v>
      </c>
      <c r="Z39" s="325">
        <f t="shared" si="32"/>
        <v>22491790.654385265</v>
      </c>
    </row>
    <row r="40" spans="1:26" s="4" customFormat="1" ht="19.5" customHeight="1">
      <c r="A40" s="366"/>
      <c r="B40" s="462"/>
      <c r="C40" s="366"/>
      <c r="D40" s="366"/>
      <c r="E40" s="463"/>
      <c r="F40" s="463"/>
      <c r="G40" s="463"/>
      <c r="H40" s="463"/>
      <c r="I40" s="463"/>
      <c r="J40" s="463"/>
      <c r="K40" s="463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</row>
    <row r="41" spans="1:26" s="4" customFormat="1" ht="19.5" customHeight="1">
      <c r="A41" s="32"/>
      <c r="B41" s="35"/>
      <c r="C41" s="35"/>
      <c r="D41" s="18"/>
      <c r="E41" s="5"/>
      <c r="F41" s="5"/>
      <c r="G41" s="5"/>
      <c r="H41" s="5"/>
      <c r="I41" s="5"/>
      <c r="J41" s="5"/>
      <c r="K41" s="5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5:22" ht="15.75">
      <c r="E42" s="820"/>
      <c r="F42" s="820"/>
      <c r="G42" s="820"/>
      <c r="H42" s="820"/>
      <c r="I42" s="820"/>
      <c r="J42" s="820"/>
      <c r="K42" s="3"/>
      <c r="V42" s="3"/>
    </row>
    <row r="43" spans="5:11" ht="15.75">
      <c r="E43" s="819" t="str">
        <f>IF(L39+S39=E39," ","HIBA-nincs egyenlőség")</f>
        <v> </v>
      </c>
      <c r="F43" s="819" t="str">
        <f>IF(M39+T39=F39," ","HIBA-nincs egyenlőség")</f>
        <v> </v>
      </c>
      <c r="G43" s="819"/>
      <c r="H43" s="819"/>
      <c r="I43" s="819"/>
      <c r="J43" s="819"/>
      <c r="K43" s="819"/>
    </row>
    <row r="44" spans="2:20" ht="15.75">
      <c r="B44" s="1"/>
      <c r="C44" s="1"/>
      <c r="D44" s="1"/>
      <c r="L44" s="1"/>
      <c r="M44" s="1"/>
      <c r="N44" s="1"/>
      <c r="O44" s="1"/>
      <c r="P44" s="1"/>
      <c r="Q44" s="1"/>
      <c r="R44" s="1"/>
      <c r="S44" s="1"/>
      <c r="T44" s="1"/>
    </row>
    <row r="45" spans="2:20" ht="15.75">
      <c r="B45" s="1"/>
      <c r="C45" s="1"/>
      <c r="D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15.75">
      <c r="B46" s="1"/>
      <c r="C46" s="1"/>
      <c r="D46" s="1"/>
      <c r="L46" s="1"/>
      <c r="M46" s="1"/>
      <c r="N46" s="1"/>
      <c r="O46" s="1"/>
      <c r="P46" s="1"/>
      <c r="Q46" s="1"/>
      <c r="R46" s="1"/>
      <c r="S46" s="1"/>
      <c r="T46" s="1"/>
    </row>
    <row r="47" spans="2:20" ht="15.75">
      <c r="B47" s="1"/>
      <c r="C47" s="1"/>
      <c r="D47" s="1"/>
      <c r="G47" s="3"/>
      <c r="L47" s="1"/>
      <c r="M47" s="1"/>
      <c r="N47" s="1"/>
      <c r="O47" s="1"/>
      <c r="P47" s="1"/>
      <c r="Q47" s="1"/>
      <c r="R47" s="1"/>
      <c r="S47" s="1"/>
      <c r="T47" s="1"/>
    </row>
    <row r="48" spans="2:20" ht="15.75">
      <c r="B48" s="1"/>
      <c r="C48" s="1"/>
      <c r="D48" s="1"/>
      <c r="L48" s="1"/>
      <c r="M48" s="1"/>
      <c r="N48" s="1"/>
      <c r="O48" s="1"/>
      <c r="P48" s="1"/>
      <c r="Q48" s="1"/>
      <c r="R48" s="1"/>
      <c r="S48" s="1"/>
      <c r="T48" s="1"/>
    </row>
    <row r="49" spans="2:20" ht="15.75">
      <c r="B49" s="1"/>
      <c r="C49" s="1"/>
      <c r="D49" s="1"/>
      <c r="L49" s="1"/>
      <c r="M49" s="1"/>
      <c r="N49" s="1"/>
      <c r="O49" s="1"/>
      <c r="P49" s="1"/>
      <c r="Q49" s="1"/>
      <c r="R49" s="1"/>
      <c r="S49" s="1"/>
      <c r="T49" s="1"/>
    </row>
    <row r="50" spans="2:20" ht="15.75">
      <c r="B50" s="1"/>
      <c r="C50" s="1"/>
      <c r="D50" s="1"/>
      <c r="L50" s="1"/>
      <c r="M50" s="1"/>
      <c r="N50" s="1"/>
      <c r="O50" s="1"/>
      <c r="P50" s="1"/>
      <c r="Q50" s="1"/>
      <c r="R50" s="1"/>
      <c r="S50" s="1"/>
      <c r="T50" s="1"/>
    </row>
  </sheetData>
  <sheetProtection/>
  <mergeCells count="21">
    <mergeCell ref="B31:D31"/>
    <mergeCell ref="C18:D18"/>
    <mergeCell ref="A39:D39"/>
    <mergeCell ref="B30:D30"/>
    <mergeCell ref="A38:D38"/>
    <mergeCell ref="C33:D33"/>
    <mergeCell ref="C20:D20"/>
    <mergeCell ref="B37:D37"/>
    <mergeCell ref="B25:D25"/>
    <mergeCell ref="C34:D34"/>
    <mergeCell ref="C35:D35"/>
    <mergeCell ref="S4:Y4"/>
    <mergeCell ref="A4:D4"/>
    <mergeCell ref="C19:D19"/>
    <mergeCell ref="E1:W1"/>
    <mergeCell ref="A2:S2"/>
    <mergeCell ref="B32:D32"/>
    <mergeCell ref="B6:D6"/>
    <mergeCell ref="B17:D17"/>
    <mergeCell ref="C26:D26"/>
    <mergeCell ref="C27:D2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3"/>
  <sheetViews>
    <sheetView zoomScale="110" zoomScaleNormal="110" zoomScalePageLayoutView="0" workbookViewId="0" topLeftCell="A24">
      <selection activeCell="P50" sqref="P50"/>
    </sheetView>
  </sheetViews>
  <sheetFormatPr defaultColWidth="9.140625" defaultRowHeight="12.75"/>
  <cols>
    <col min="1" max="1" width="4.28125" style="169" customWidth="1"/>
    <col min="2" max="2" width="4.7109375" style="107" customWidth="1"/>
    <col min="3" max="3" width="45.421875" style="107" customWidth="1"/>
    <col min="4" max="4" width="11.140625" style="107" customWidth="1"/>
    <col min="5" max="5" width="10.57421875" style="107" customWidth="1"/>
    <col min="6" max="6" width="10.421875" style="107" customWidth="1"/>
    <col min="7" max="7" width="11.7109375" style="107" customWidth="1"/>
    <col min="8" max="8" width="12.421875" style="107" customWidth="1"/>
    <col min="9" max="9" width="10.140625" style="107" hidden="1" customWidth="1"/>
    <col min="10" max="10" width="9.8515625" style="107" hidden="1" customWidth="1"/>
    <col min="11" max="11" width="8.28125" style="107" hidden="1" customWidth="1"/>
    <col min="12" max="12" width="12.8515625" style="107" customWidth="1"/>
    <col min="13" max="13" width="11.00390625" style="107" customWidth="1"/>
    <col min="14" max="14" width="12.57421875" style="107" customWidth="1"/>
    <col min="15" max="15" width="10.140625" style="107" customWidth="1"/>
    <col min="16" max="16" width="10.28125" style="107" customWidth="1"/>
    <col min="17" max="17" width="10.28125" style="107" hidden="1" customWidth="1"/>
    <col min="18" max="18" width="16.7109375" style="107" hidden="1" customWidth="1"/>
    <col min="19" max="23" width="9.8515625" style="107" customWidth="1"/>
    <col min="24" max="24" width="13.140625" style="107" customWidth="1"/>
    <col min="25" max="25" width="9.140625" style="107" customWidth="1"/>
    <col min="26" max="26" width="9.421875" style="107" customWidth="1"/>
    <col min="27" max="27" width="10.00390625" style="107" customWidth="1"/>
    <col min="28" max="28" width="10.8515625" style="107" customWidth="1"/>
    <col min="29" max="29" width="10.00390625" style="107" hidden="1" customWidth="1"/>
    <col min="30" max="32" width="9.140625" style="107" hidden="1" customWidth="1"/>
    <col min="33" max="33" width="11.421875" style="107" bestFit="1" customWidth="1"/>
    <col min="34" max="34" width="12.421875" style="107" bestFit="1" customWidth="1"/>
    <col min="35" max="35" width="11.421875" style="107" bestFit="1" customWidth="1"/>
    <col min="36" max="16384" width="9.140625" style="107" customWidth="1"/>
  </cols>
  <sheetData>
    <row r="1" spans="1:28" s="97" customFormat="1" ht="21" customHeight="1">
      <c r="A1" s="96"/>
      <c r="C1" s="1188" t="s">
        <v>611</v>
      </c>
      <c r="D1" s="1188"/>
      <c r="E1" s="1188"/>
      <c r="F1" s="1188"/>
      <c r="G1" s="1188"/>
      <c r="H1" s="1188"/>
      <c r="I1" s="1188"/>
      <c r="J1" s="1188"/>
      <c r="K1" s="1188"/>
      <c r="L1" s="1188"/>
      <c r="M1" s="1188"/>
      <c r="N1" s="1188"/>
      <c r="O1" s="1188"/>
      <c r="P1" s="1188"/>
      <c r="Q1" s="1188"/>
      <c r="R1" s="1188"/>
      <c r="S1" s="1188"/>
      <c r="T1" s="1188"/>
      <c r="U1" s="1188"/>
      <c r="V1" s="1188"/>
      <c r="W1" s="1188"/>
      <c r="X1" s="1188"/>
      <c r="Y1" s="1188"/>
      <c r="Z1" s="1188"/>
      <c r="AA1" s="1188"/>
      <c r="AB1" s="1188"/>
    </row>
    <row r="2" spans="1:11" s="97" customFormat="1" ht="21" customHeight="1">
      <c r="A2" s="96"/>
      <c r="C2" s="101"/>
      <c r="D2" s="100"/>
      <c r="E2" s="100"/>
      <c r="F2" s="100"/>
      <c r="G2" s="100"/>
      <c r="H2" s="100"/>
      <c r="I2" s="100"/>
      <c r="J2" s="100"/>
      <c r="K2" s="100"/>
    </row>
    <row r="3" spans="1:24" s="102" customFormat="1" ht="25.5" customHeight="1">
      <c r="A3" s="1191" t="s">
        <v>219</v>
      </c>
      <c r="B3" s="1191"/>
      <c r="C3" s="1191"/>
      <c r="D3" s="1191"/>
      <c r="E3" s="1191"/>
      <c r="F3" s="1191"/>
      <c r="G3" s="1191"/>
      <c r="H3" s="1191"/>
      <c r="I3" s="1191"/>
      <c r="J3" s="1191"/>
      <c r="K3" s="1191"/>
      <c r="L3" s="1191"/>
      <c r="M3" s="1191"/>
      <c r="N3" s="1191"/>
      <c r="O3" s="1191"/>
      <c r="P3" s="1191"/>
      <c r="Q3" s="1191"/>
      <c r="R3" s="1191"/>
      <c r="S3" s="1191"/>
      <c r="T3" s="1191"/>
      <c r="U3" s="1191"/>
      <c r="V3" s="1191"/>
      <c r="W3" s="1191"/>
      <c r="X3" s="1191"/>
    </row>
    <row r="4" spans="1:24" s="105" customFormat="1" ht="15.75" customHeight="1" thickBot="1">
      <c r="A4" s="103"/>
      <c r="B4" s="103"/>
      <c r="C4" s="103"/>
      <c r="X4" s="104" t="s">
        <v>444</v>
      </c>
    </row>
    <row r="5" spans="1:31" ht="36.75" customHeight="1" thickBot="1">
      <c r="A5" s="1189" t="s">
        <v>106</v>
      </c>
      <c r="B5" s="1190"/>
      <c r="C5" s="106" t="s">
        <v>107</v>
      </c>
      <c r="D5" s="1193" t="s">
        <v>4</v>
      </c>
      <c r="E5" s="1194"/>
      <c r="F5" s="1194"/>
      <c r="G5" s="1194"/>
      <c r="H5" s="1194"/>
      <c r="I5" s="1194"/>
      <c r="J5" s="1194"/>
      <c r="K5" s="1194"/>
      <c r="L5" s="1195" t="s">
        <v>104</v>
      </c>
      <c r="M5" s="1196"/>
      <c r="N5" s="1196"/>
      <c r="O5" s="1196"/>
      <c r="P5" s="1196"/>
      <c r="Q5" s="1193"/>
      <c r="R5" s="1193"/>
      <c r="S5" s="1189" t="s">
        <v>361</v>
      </c>
      <c r="T5" s="1194"/>
      <c r="U5" s="1194"/>
      <c r="V5" s="1194"/>
      <c r="W5" s="1190"/>
      <c r="X5" s="1190" t="s">
        <v>152</v>
      </c>
      <c r="Y5" s="1196"/>
      <c r="Z5" s="1196"/>
      <c r="AA5" s="1196"/>
      <c r="AB5" s="1196"/>
      <c r="AC5" s="1196"/>
      <c r="AD5" s="1196"/>
      <c r="AE5" s="1197"/>
    </row>
    <row r="6" spans="1:32" ht="13.5" thickBot="1">
      <c r="A6" s="258"/>
      <c r="B6" s="259"/>
      <c r="C6" s="106"/>
      <c r="D6" s="106" t="s">
        <v>228</v>
      </c>
      <c r="E6" s="106" t="s">
        <v>226</v>
      </c>
      <c r="F6" s="106" t="s">
        <v>229</v>
      </c>
      <c r="G6" s="106" t="s">
        <v>231</v>
      </c>
      <c r="H6" s="106" t="s">
        <v>243</v>
      </c>
      <c r="I6" s="106" t="s">
        <v>248</v>
      </c>
      <c r="J6" s="106" t="s">
        <v>345</v>
      </c>
      <c r="K6" s="368" t="s">
        <v>248</v>
      </c>
      <c r="L6" s="397" t="s">
        <v>228</v>
      </c>
      <c r="M6" s="106" t="s">
        <v>226</v>
      </c>
      <c r="N6" s="106" t="s">
        <v>229</v>
      </c>
      <c r="O6" s="106" t="s">
        <v>231</v>
      </c>
      <c r="P6" s="106" t="s">
        <v>243</v>
      </c>
      <c r="Q6" s="106" t="s">
        <v>248</v>
      </c>
      <c r="R6" s="407" t="s">
        <v>345</v>
      </c>
      <c r="S6" s="106" t="s">
        <v>228</v>
      </c>
      <c r="T6" s="106" t="s">
        <v>226</v>
      </c>
      <c r="U6" s="106" t="s">
        <v>229</v>
      </c>
      <c r="V6" s="106" t="s">
        <v>231</v>
      </c>
      <c r="W6" s="106" t="s">
        <v>243</v>
      </c>
      <c r="X6" s="367" t="s">
        <v>228</v>
      </c>
      <c r="Y6" s="106" t="s">
        <v>226</v>
      </c>
      <c r="Z6" s="106" t="s">
        <v>229</v>
      </c>
      <c r="AA6" s="106" t="s">
        <v>231</v>
      </c>
      <c r="AB6" s="106" t="s">
        <v>243</v>
      </c>
      <c r="AC6" s="106" t="s">
        <v>248</v>
      </c>
      <c r="AD6" s="106" t="s">
        <v>345</v>
      </c>
      <c r="AE6" s="368" t="s">
        <v>235</v>
      </c>
      <c r="AF6" s="106" t="s">
        <v>248</v>
      </c>
    </row>
    <row r="7" spans="1:32" s="111" customFormat="1" ht="12.75" customHeight="1" thickBot="1">
      <c r="A7" s="108">
        <v>1</v>
      </c>
      <c r="B7" s="109">
        <v>2</v>
      </c>
      <c r="C7" s="109">
        <v>3</v>
      </c>
      <c r="D7" s="109">
        <v>4</v>
      </c>
      <c r="E7" s="109">
        <v>5</v>
      </c>
      <c r="F7" s="109">
        <v>6</v>
      </c>
      <c r="G7" s="109">
        <v>7</v>
      </c>
      <c r="H7" s="109">
        <v>8</v>
      </c>
      <c r="I7" s="109">
        <v>5</v>
      </c>
      <c r="J7" s="109">
        <v>9</v>
      </c>
      <c r="K7" s="110"/>
      <c r="L7" s="108">
        <v>8</v>
      </c>
      <c r="M7" s="109">
        <v>9</v>
      </c>
      <c r="N7" s="109">
        <v>10</v>
      </c>
      <c r="O7" s="109">
        <v>11</v>
      </c>
      <c r="P7" s="109">
        <v>13</v>
      </c>
      <c r="Q7" s="251">
        <v>7</v>
      </c>
      <c r="R7" s="251">
        <v>15</v>
      </c>
      <c r="S7" s="109">
        <v>12</v>
      </c>
      <c r="T7" s="884">
        <v>13</v>
      </c>
      <c r="U7" s="884">
        <v>14</v>
      </c>
      <c r="V7" s="884">
        <v>15</v>
      </c>
      <c r="W7" s="884">
        <v>15</v>
      </c>
      <c r="X7" s="884">
        <v>16</v>
      </c>
      <c r="Y7" s="109">
        <v>17</v>
      </c>
      <c r="Z7" s="109">
        <v>18</v>
      </c>
      <c r="AA7" s="109">
        <v>19</v>
      </c>
      <c r="AB7" s="109">
        <v>18</v>
      </c>
      <c r="AC7" s="109">
        <v>9</v>
      </c>
      <c r="AD7" s="109">
        <v>21</v>
      </c>
      <c r="AE7" s="110"/>
      <c r="AF7" s="109"/>
    </row>
    <row r="8" spans="1:32" s="111" customFormat="1" ht="15.75" customHeight="1" thickBot="1">
      <c r="A8" s="112"/>
      <c r="B8" s="113"/>
      <c r="C8" s="113" t="s">
        <v>108</v>
      </c>
      <c r="D8" s="234"/>
      <c r="E8" s="234"/>
      <c r="F8" s="173"/>
      <c r="G8" s="173"/>
      <c r="H8" s="173"/>
      <c r="I8" s="173"/>
      <c r="J8" s="173"/>
      <c r="K8" s="235"/>
      <c r="L8" s="374"/>
      <c r="M8" s="234"/>
      <c r="N8" s="173"/>
      <c r="O8" s="173"/>
      <c r="P8" s="173"/>
      <c r="Q8" s="252"/>
      <c r="R8" s="252"/>
      <c r="S8" s="173"/>
      <c r="T8" s="234"/>
      <c r="U8" s="234"/>
      <c r="V8" s="234"/>
      <c r="W8" s="234"/>
      <c r="X8" s="234"/>
      <c r="Y8" s="374"/>
      <c r="Z8" s="374"/>
      <c r="AA8" s="173"/>
      <c r="AB8" s="173"/>
      <c r="AC8" s="173"/>
      <c r="AD8" s="173"/>
      <c r="AE8" s="235"/>
      <c r="AF8" s="173"/>
    </row>
    <row r="9" spans="1:32" s="117" customFormat="1" ht="12" customHeight="1" thickBot="1">
      <c r="A9" s="108" t="s">
        <v>26</v>
      </c>
      <c r="B9" s="114"/>
      <c r="C9" s="115" t="s">
        <v>334</v>
      </c>
      <c r="D9" s="174">
        <f>SUM(D10:D13)</f>
        <v>50100</v>
      </c>
      <c r="E9" s="174">
        <f>SUM(E10:E13)</f>
        <v>50100</v>
      </c>
      <c r="F9" s="174">
        <f>SUM(F10:F13)</f>
        <v>50100</v>
      </c>
      <c r="G9" s="174">
        <f>SUM(G10:G13)</f>
        <v>50100</v>
      </c>
      <c r="H9" s="174">
        <f>SUM(H10:H13)</f>
        <v>430027</v>
      </c>
      <c r="I9" s="174">
        <f aca="true" t="shared" si="0" ref="I9:P9">SUM(I10:I13)</f>
        <v>0</v>
      </c>
      <c r="J9" s="174">
        <f t="shared" si="0"/>
        <v>0</v>
      </c>
      <c r="K9" s="174">
        <f t="shared" si="0"/>
        <v>0</v>
      </c>
      <c r="L9" s="174">
        <f t="shared" si="0"/>
        <v>50100</v>
      </c>
      <c r="M9" s="174">
        <f>SUM(M10:M13)</f>
        <v>50100</v>
      </c>
      <c r="N9" s="174">
        <f>SUM(N10:N13)</f>
        <v>50100</v>
      </c>
      <c r="O9" s="174">
        <f>SUM(O10:O13)</f>
        <v>50100</v>
      </c>
      <c r="P9" s="174">
        <f t="shared" si="0"/>
        <v>430027</v>
      </c>
      <c r="Q9" s="174">
        <f>SUM(Q10:Q13)</f>
        <v>0</v>
      </c>
      <c r="R9" s="941"/>
      <c r="S9" s="174"/>
      <c r="T9" s="230"/>
      <c r="U9" s="230"/>
      <c r="V9" s="230"/>
      <c r="W9" s="230"/>
      <c r="X9" s="230"/>
      <c r="Y9" s="375"/>
      <c r="Z9" s="375"/>
      <c r="AA9" s="174"/>
      <c r="AB9" s="174"/>
      <c r="AC9" s="174"/>
      <c r="AD9" s="174"/>
      <c r="AE9" s="116"/>
      <c r="AF9" s="174"/>
    </row>
    <row r="10" spans="1:32" s="117" customFormat="1" ht="12" customHeight="1">
      <c r="A10" s="118"/>
      <c r="B10" s="129" t="s">
        <v>35</v>
      </c>
      <c r="C10" s="758" t="s">
        <v>463</v>
      </c>
      <c r="D10" s="759"/>
      <c r="E10" s="759"/>
      <c r="F10" s="759"/>
      <c r="G10" s="759"/>
      <c r="H10" s="759"/>
      <c r="I10" s="760"/>
      <c r="J10" s="761"/>
      <c r="K10" s="762"/>
      <c r="L10" s="763"/>
      <c r="M10" s="763"/>
      <c r="N10" s="763"/>
      <c r="O10" s="763"/>
      <c r="P10" s="763"/>
      <c r="Q10" s="760"/>
      <c r="R10" s="942"/>
      <c r="S10" s="759"/>
      <c r="T10" s="777"/>
      <c r="U10" s="777"/>
      <c r="V10" s="777"/>
      <c r="W10" s="777"/>
      <c r="X10" s="777"/>
      <c r="Y10" s="763"/>
      <c r="Z10" s="763"/>
      <c r="AA10" s="759"/>
      <c r="AB10" s="759"/>
      <c r="AC10" s="759"/>
      <c r="AD10" s="755"/>
      <c r="AE10" s="756"/>
      <c r="AF10" s="755"/>
    </row>
    <row r="11" spans="1:32" s="117" customFormat="1" ht="12" customHeight="1">
      <c r="A11" s="806"/>
      <c r="B11" s="119" t="s">
        <v>36</v>
      </c>
      <c r="C11" s="807" t="s">
        <v>483</v>
      </c>
      <c r="D11" s="808"/>
      <c r="E11" s="808"/>
      <c r="F11" s="808"/>
      <c r="G11" s="808"/>
      <c r="H11" s="808">
        <v>95860</v>
      </c>
      <c r="I11" s="809"/>
      <c r="J11" s="848"/>
      <c r="K11" s="849"/>
      <c r="L11" s="850"/>
      <c r="M11" s="850"/>
      <c r="N11" s="850"/>
      <c r="O11" s="850"/>
      <c r="P11" s="393">
        <f aca="true" t="shared" si="1" ref="L11:P13">+H11-W11</f>
        <v>95860</v>
      </c>
      <c r="Q11" s="809"/>
      <c r="R11" s="943"/>
      <c r="S11" s="808"/>
      <c r="T11" s="953"/>
      <c r="U11" s="953"/>
      <c r="V11" s="953"/>
      <c r="W11" s="953"/>
      <c r="X11" s="953"/>
      <c r="Y11" s="810"/>
      <c r="Z11" s="810"/>
      <c r="AA11" s="808"/>
      <c r="AB11" s="808"/>
      <c r="AC11" s="808"/>
      <c r="AD11" s="755"/>
      <c r="AE11" s="756"/>
      <c r="AF11" s="755"/>
    </row>
    <row r="12" spans="1:32" s="117" customFormat="1" ht="12" customHeight="1">
      <c r="A12" s="120"/>
      <c r="B12" s="119" t="s">
        <v>37</v>
      </c>
      <c r="C12" s="764" t="s">
        <v>308</v>
      </c>
      <c r="D12" s="765">
        <v>100</v>
      </c>
      <c r="E12" s="765">
        <v>100</v>
      </c>
      <c r="F12" s="765">
        <v>100</v>
      </c>
      <c r="G12" s="765">
        <v>100</v>
      </c>
      <c r="H12" s="765">
        <v>100</v>
      </c>
      <c r="I12" s="766"/>
      <c r="J12" s="420"/>
      <c r="K12" s="851"/>
      <c r="L12" s="393">
        <f t="shared" si="1"/>
        <v>100</v>
      </c>
      <c r="M12" s="393">
        <f t="shared" si="1"/>
        <v>100</v>
      </c>
      <c r="N12" s="393">
        <f t="shared" si="1"/>
        <v>100</v>
      </c>
      <c r="O12" s="393">
        <f t="shared" si="1"/>
        <v>100</v>
      </c>
      <c r="P12" s="393">
        <f t="shared" si="1"/>
        <v>100</v>
      </c>
      <c r="Q12" s="766"/>
      <c r="R12" s="944"/>
      <c r="S12" s="766"/>
      <c r="T12" s="989"/>
      <c r="U12" s="989"/>
      <c r="V12" s="989"/>
      <c r="W12" s="989"/>
      <c r="X12" s="778"/>
      <c r="Y12" s="769"/>
      <c r="Z12" s="769"/>
      <c r="AA12" s="765"/>
      <c r="AB12" s="765"/>
      <c r="AC12" s="765"/>
      <c r="AD12" s="755"/>
      <c r="AE12" s="756"/>
      <c r="AF12" s="755"/>
    </row>
    <row r="13" spans="1:32" s="117" customFormat="1" ht="12" customHeight="1" thickBot="1">
      <c r="A13" s="770"/>
      <c r="B13" s="119" t="s">
        <v>48</v>
      </c>
      <c r="C13" s="771" t="s">
        <v>464</v>
      </c>
      <c r="D13" s="772">
        <v>50000</v>
      </c>
      <c r="E13" s="772">
        <v>50000</v>
      </c>
      <c r="F13" s="772">
        <v>50000</v>
      </c>
      <c r="G13" s="772">
        <v>50000</v>
      </c>
      <c r="H13" s="772">
        <v>334067</v>
      </c>
      <c r="I13" s="773"/>
      <c r="J13" s="774"/>
      <c r="K13" s="775"/>
      <c r="L13" s="393">
        <f t="shared" si="1"/>
        <v>50000</v>
      </c>
      <c r="M13" s="393">
        <f t="shared" si="1"/>
        <v>50000</v>
      </c>
      <c r="N13" s="393">
        <f t="shared" si="1"/>
        <v>50000</v>
      </c>
      <c r="O13" s="393">
        <f t="shared" si="1"/>
        <v>50000</v>
      </c>
      <c r="P13" s="393">
        <f t="shared" si="1"/>
        <v>334067</v>
      </c>
      <c r="Q13" s="773"/>
      <c r="R13" s="945"/>
      <c r="S13" s="773"/>
      <c r="T13" s="853"/>
      <c r="U13" s="853"/>
      <c r="V13" s="853"/>
      <c r="W13" s="853"/>
      <c r="X13" s="784"/>
      <c r="Y13" s="776"/>
      <c r="Z13" s="776"/>
      <c r="AA13" s="772"/>
      <c r="AB13" s="772"/>
      <c r="AC13" s="772"/>
      <c r="AD13" s="755"/>
      <c r="AE13" s="756"/>
      <c r="AF13" s="755"/>
    </row>
    <row r="14" spans="1:32" s="123" customFormat="1" ht="12" customHeight="1" hidden="1" thickBot="1">
      <c r="A14" s="124" t="s">
        <v>27</v>
      </c>
      <c r="B14" s="119"/>
      <c r="C14" s="757" t="s">
        <v>114</v>
      </c>
      <c r="D14" s="184"/>
      <c r="E14" s="184"/>
      <c r="F14" s="184"/>
      <c r="G14" s="184"/>
      <c r="H14" s="184"/>
      <c r="I14" s="184"/>
      <c r="J14" s="607" t="e">
        <f>H14/F14</f>
        <v>#DIV/0!</v>
      </c>
      <c r="K14" s="236"/>
      <c r="L14" s="376"/>
      <c r="M14" s="376"/>
      <c r="N14" s="376"/>
      <c r="O14" s="376"/>
      <c r="P14" s="376"/>
      <c r="Q14" s="184"/>
      <c r="R14" s="946" t="e">
        <f>P14/N14</f>
        <v>#DIV/0!</v>
      </c>
      <c r="S14" s="184"/>
      <c r="T14" s="954"/>
      <c r="U14" s="954"/>
      <c r="V14" s="954"/>
      <c r="W14" s="954"/>
      <c r="X14" s="954"/>
      <c r="Y14" s="376"/>
      <c r="Z14" s="376"/>
      <c r="AA14" s="184"/>
      <c r="AB14" s="184"/>
      <c r="AC14" s="184"/>
      <c r="AD14" s="184"/>
      <c r="AE14" s="236"/>
      <c r="AF14" s="184"/>
    </row>
    <row r="15" spans="1:32" s="117" customFormat="1" ht="12" customHeight="1" thickBot="1">
      <c r="A15" s="108" t="s">
        <v>27</v>
      </c>
      <c r="B15" s="114"/>
      <c r="C15" s="115" t="s">
        <v>115</v>
      </c>
      <c r="D15" s="174">
        <f aca="true" t="shared" si="2" ref="D15:I15">SUM(D16:D19)</f>
        <v>0</v>
      </c>
      <c r="E15" s="174">
        <f t="shared" si="2"/>
        <v>0</v>
      </c>
      <c r="F15" s="174">
        <f t="shared" si="2"/>
        <v>2982412</v>
      </c>
      <c r="G15" s="174">
        <f t="shared" si="2"/>
        <v>3011468</v>
      </c>
      <c r="H15" s="174">
        <f t="shared" si="2"/>
        <v>7349370</v>
      </c>
      <c r="I15" s="174">
        <f t="shared" si="2"/>
        <v>0</v>
      </c>
      <c r="J15" s="316"/>
      <c r="K15" s="116">
        <f aca="true" t="shared" si="3" ref="K15:Q15">SUM(K16:K19)</f>
        <v>0</v>
      </c>
      <c r="L15" s="174">
        <f t="shared" si="3"/>
        <v>0</v>
      </c>
      <c r="M15" s="174">
        <f>SUM(M16:M19)</f>
        <v>0</v>
      </c>
      <c r="N15" s="174">
        <f>SUM(N16:N19)</f>
        <v>2982412</v>
      </c>
      <c r="O15" s="174">
        <f>SUM(O16:O19)</f>
        <v>3011468</v>
      </c>
      <c r="P15" s="174">
        <f>SUM(P16:P19)</f>
        <v>7349370</v>
      </c>
      <c r="Q15" s="174">
        <f t="shared" si="3"/>
        <v>0</v>
      </c>
      <c r="R15" s="941"/>
      <c r="S15" s="174"/>
      <c r="T15" s="230"/>
      <c r="U15" s="230"/>
      <c r="V15" s="230"/>
      <c r="W15" s="230"/>
      <c r="X15" s="230"/>
      <c r="Y15" s="375"/>
      <c r="Z15" s="375"/>
      <c r="AA15" s="174"/>
      <c r="AB15" s="174"/>
      <c r="AC15" s="174"/>
      <c r="AD15" s="174"/>
      <c r="AE15" s="116"/>
      <c r="AF15" s="174"/>
    </row>
    <row r="16" spans="1:32" s="123" customFormat="1" ht="12" customHeight="1">
      <c r="A16" s="120"/>
      <c r="B16" s="119" t="s">
        <v>38</v>
      </c>
      <c r="C16" s="125" t="s">
        <v>71</v>
      </c>
      <c r="D16" s="175"/>
      <c r="E16" s="175"/>
      <c r="F16" s="175">
        <v>2982412</v>
      </c>
      <c r="G16" s="175">
        <v>3011468</v>
      </c>
      <c r="H16" s="175">
        <v>7349370</v>
      </c>
      <c r="I16" s="175"/>
      <c r="J16" s="608"/>
      <c r="K16" s="122"/>
      <c r="L16" s="175"/>
      <c r="M16" s="175"/>
      <c r="N16" s="175">
        <v>2982412</v>
      </c>
      <c r="O16" s="175">
        <f>+G16</f>
        <v>3011468</v>
      </c>
      <c r="P16" s="175">
        <f>+H16</f>
        <v>7349370</v>
      </c>
      <c r="Q16" s="175"/>
      <c r="R16" s="947"/>
      <c r="S16" s="175"/>
      <c r="T16" s="637"/>
      <c r="U16" s="637"/>
      <c r="V16" s="637"/>
      <c r="W16" s="637"/>
      <c r="X16" s="637"/>
      <c r="Y16" s="377"/>
      <c r="Z16" s="377"/>
      <c r="AA16" s="175"/>
      <c r="AB16" s="175"/>
      <c r="AC16" s="175"/>
      <c r="AD16" s="175"/>
      <c r="AE16" s="122"/>
      <c r="AF16" s="175"/>
    </row>
    <row r="17" spans="1:32" s="123" customFormat="1" ht="12" customHeight="1">
      <c r="A17" s="120"/>
      <c r="B17" s="119" t="s">
        <v>39</v>
      </c>
      <c r="C17" s="121" t="s">
        <v>118</v>
      </c>
      <c r="D17" s="175"/>
      <c r="E17" s="175"/>
      <c r="F17" s="175"/>
      <c r="G17" s="175"/>
      <c r="H17" s="175"/>
      <c r="I17" s="175"/>
      <c r="J17" s="608"/>
      <c r="K17" s="122"/>
      <c r="L17" s="175"/>
      <c r="M17" s="175"/>
      <c r="N17" s="175"/>
      <c r="O17" s="175"/>
      <c r="P17" s="175"/>
      <c r="Q17" s="175"/>
      <c r="R17" s="947"/>
      <c r="S17" s="175"/>
      <c r="T17" s="637"/>
      <c r="U17" s="637"/>
      <c r="V17" s="637"/>
      <c r="W17" s="637"/>
      <c r="X17" s="637"/>
      <c r="Y17" s="377"/>
      <c r="Z17" s="377"/>
      <c r="AA17" s="175"/>
      <c r="AB17" s="175"/>
      <c r="AC17" s="175"/>
      <c r="AD17" s="175"/>
      <c r="AE17" s="122"/>
      <c r="AF17" s="175"/>
    </row>
    <row r="18" spans="1:32" s="123" customFormat="1" ht="12" customHeight="1">
      <c r="A18" s="120"/>
      <c r="B18" s="119" t="s">
        <v>40</v>
      </c>
      <c r="C18" s="121" t="s">
        <v>72</v>
      </c>
      <c r="D18" s="175"/>
      <c r="E18" s="175"/>
      <c r="F18" s="175"/>
      <c r="G18" s="175"/>
      <c r="H18" s="175"/>
      <c r="I18" s="175"/>
      <c r="J18" s="608"/>
      <c r="K18" s="122"/>
      <c r="L18" s="175"/>
      <c r="M18" s="175"/>
      <c r="N18" s="175"/>
      <c r="O18" s="175"/>
      <c r="P18" s="175"/>
      <c r="Q18" s="175"/>
      <c r="R18" s="947"/>
      <c r="S18" s="175"/>
      <c r="T18" s="637"/>
      <c r="U18" s="637"/>
      <c r="V18" s="637"/>
      <c r="W18" s="637"/>
      <c r="X18" s="637"/>
      <c r="Y18" s="377"/>
      <c r="Z18" s="377"/>
      <c r="AA18" s="175"/>
      <c r="AB18" s="175"/>
      <c r="AC18" s="175"/>
      <c r="AD18" s="175"/>
      <c r="AE18" s="122"/>
      <c r="AF18" s="175"/>
    </row>
    <row r="19" spans="1:32" s="123" customFormat="1" ht="12" customHeight="1" thickBot="1">
      <c r="A19" s="120"/>
      <c r="B19" s="119" t="s">
        <v>270</v>
      </c>
      <c r="C19" s="121" t="s">
        <v>118</v>
      </c>
      <c r="D19" s="175"/>
      <c r="E19" s="175"/>
      <c r="F19" s="175"/>
      <c r="G19" s="175"/>
      <c r="H19" s="175"/>
      <c r="I19" s="175"/>
      <c r="J19" s="608"/>
      <c r="K19" s="122"/>
      <c r="L19" s="175"/>
      <c r="M19" s="175"/>
      <c r="N19" s="175"/>
      <c r="O19" s="175"/>
      <c r="P19" s="175"/>
      <c r="Q19" s="175"/>
      <c r="R19" s="947"/>
      <c r="S19" s="175"/>
      <c r="T19" s="637"/>
      <c r="U19" s="637"/>
      <c r="V19" s="637"/>
      <c r="W19" s="637"/>
      <c r="X19" s="637"/>
      <c r="Y19" s="377"/>
      <c r="Z19" s="377"/>
      <c r="AA19" s="175"/>
      <c r="AB19" s="175"/>
      <c r="AC19" s="175"/>
      <c r="AD19" s="175"/>
      <c r="AE19" s="122"/>
      <c r="AF19" s="175"/>
    </row>
    <row r="20" spans="1:32" s="123" customFormat="1" ht="12" customHeight="1" thickBot="1">
      <c r="A20" s="126" t="s">
        <v>9</v>
      </c>
      <c r="B20" s="127"/>
      <c r="C20" s="127" t="s">
        <v>121</v>
      </c>
      <c r="D20" s="174">
        <f>SUM(D21:D22)</f>
        <v>0</v>
      </c>
      <c r="E20" s="174">
        <f>SUM(E21:E22)</f>
        <v>0</v>
      </c>
      <c r="F20" s="174">
        <f>SUM(F21:F22)</f>
        <v>0</v>
      </c>
      <c r="G20" s="174">
        <f>SUM(G21:G22)</f>
        <v>0</v>
      </c>
      <c r="H20" s="174">
        <f>SUM(H21:H22)</f>
        <v>0</v>
      </c>
      <c r="I20" s="174"/>
      <c r="J20" s="316"/>
      <c r="K20" s="116"/>
      <c r="L20" s="174">
        <f>SUM(L21:L22)</f>
        <v>0</v>
      </c>
      <c r="M20" s="174">
        <f>SUM(M21:M22)</f>
        <v>0</v>
      </c>
      <c r="N20" s="174">
        <f>SUM(N21:N22)</f>
        <v>0</v>
      </c>
      <c r="O20" s="174">
        <f>SUM(O21:O22)</f>
        <v>0</v>
      </c>
      <c r="P20" s="174">
        <f>SUM(P21:P22)</f>
        <v>0</v>
      </c>
      <c r="Q20" s="174"/>
      <c r="R20" s="941"/>
      <c r="S20" s="174"/>
      <c r="T20" s="230"/>
      <c r="U20" s="230"/>
      <c r="V20" s="230"/>
      <c r="W20" s="230"/>
      <c r="X20" s="230"/>
      <c r="Y20" s="375"/>
      <c r="Z20" s="375"/>
      <c r="AA20" s="174"/>
      <c r="AB20" s="174"/>
      <c r="AC20" s="174"/>
      <c r="AD20" s="174"/>
      <c r="AE20" s="116"/>
      <c r="AF20" s="174"/>
    </row>
    <row r="21" spans="1:32" s="117" customFormat="1" ht="12" customHeight="1">
      <c r="A21" s="128"/>
      <c r="B21" s="129" t="s">
        <v>41</v>
      </c>
      <c r="C21" s="130" t="s">
        <v>123</v>
      </c>
      <c r="D21" s="176"/>
      <c r="E21" s="176"/>
      <c r="F21" s="176"/>
      <c r="G21" s="176"/>
      <c r="H21" s="176"/>
      <c r="I21" s="176"/>
      <c r="J21" s="609"/>
      <c r="K21" s="131"/>
      <c r="L21" s="176"/>
      <c r="M21" s="176"/>
      <c r="N21" s="176"/>
      <c r="O21" s="176"/>
      <c r="P21" s="176"/>
      <c r="Q21" s="176"/>
      <c r="R21" s="948"/>
      <c r="S21" s="176"/>
      <c r="T21" s="638"/>
      <c r="U21" s="638"/>
      <c r="V21" s="638"/>
      <c r="W21" s="638"/>
      <c r="X21" s="638"/>
      <c r="Y21" s="378"/>
      <c r="Z21" s="378"/>
      <c r="AA21" s="176"/>
      <c r="AB21" s="176"/>
      <c r="AC21" s="176"/>
      <c r="AD21" s="176"/>
      <c r="AE21" s="131"/>
      <c r="AF21" s="176"/>
    </row>
    <row r="22" spans="1:32" s="117" customFormat="1" ht="12" customHeight="1" thickBot="1">
      <c r="A22" s="132"/>
      <c r="B22" s="133" t="s">
        <v>42</v>
      </c>
      <c r="C22" s="134" t="s">
        <v>125</v>
      </c>
      <c r="D22" s="177"/>
      <c r="E22" s="177"/>
      <c r="F22" s="177"/>
      <c r="G22" s="177"/>
      <c r="H22" s="177"/>
      <c r="I22" s="177"/>
      <c r="J22" s="610"/>
      <c r="K22" s="135"/>
      <c r="L22" s="177"/>
      <c r="M22" s="177"/>
      <c r="N22" s="177"/>
      <c r="O22" s="177"/>
      <c r="P22" s="177"/>
      <c r="Q22" s="177"/>
      <c r="R22" s="949"/>
      <c r="S22" s="177"/>
      <c r="T22" s="639"/>
      <c r="U22" s="639"/>
      <c r="V22" s="639"/>
      <c r="W22" s="639"/>
      <c r="X22" s="639"/>
      <c r="Y22" s="379"/>
      <c r="Z22" s="379"/>
      <c r="AA22" s="177"/>
      <c r="AB22" s="177"/>
      <c r="AC22" s="177"/>
      <c r="AD22" s="177"/>
      <c r="AE22" s="135"/>
      <c r="AF22" s="177"/>
    </row>
    <row r="23" spans="1:32" s="117" customFormat="1" ht="12" customHeight="1" hidden="1" thickBot="1">
      <c r="A23" s="126" t="s">
        <v>10</v>
      </c>
      <c r="B23" s="114"/>
      <c r="D23" s="178"/>
      <c r="E23" s="178"/>
      <c r="F23" s="178"/>
      <c r="G23" s="178"/>
      <c r="H23" s="178"/>
      <c r="I23" s="178"/>
      <c r="J23" s="611" t="e">
        <f>H23/F23</f>
        <v>#DIV/0!</v>
      </c>
      <c r="K23" s="136"/>
      <c r="L23" s="178"/>
      <c r="M23" s="178"/>
      <c r="N23" s="178"/>
      <c r="O23" s="178"/>
      <c r="P23" s="178"/>
      <c r="Q23" s="178"/>
      <c r="R23" s="950" t="e">
        <f>P23/N23</f>
        <v>#DIV/0!</v>
      </c>
      <c r="S23" s="178"/>
      <c r="T23" s="227"/>
      <c r="U23" s="227"/>
      <c r="V23" s="227"/>
      <c r="W23" s="227"/>
      <c r="X23" s="227"/>
      <c r="Y23" s="380"/>
      <c r="Z23" s="380"/>
      <c r="AA23" s="178"/>
      <c r="AB23" s="178"/>
      <c r="AC23" s="178"/>
      <c r="AD23" s="178"/>
      <c r="AE23" s="136"/>
      <c r="AF23" s="178"/>
    </row>
    <row r="24" spans="1:32" s="117" customFormat="1" ht="12" customHeight="1" thickBot="1">
      <c r="A24" s="108" t="s">
        <v>10</v>
      </c>
      <c r="B24" s="137"/>
      <c r="C24" s="127" t="s">
        <v>127</v>
      </c>
      <c r="D24" s="230">
        <f aca="true" t="shared" si="4" ref="D24:R24">D9+D14+D15+D20+D23</f>
        <v>50100</v>
      </c>
      <c r="E24" s="230">
        <f t="shared" si="4"/>
        <v>50100</v>
      </c>
      <c r="F24" s="230">
        <f>F9+F14+F15+F20+F23</f>
        <v>3032512</v>
      </c>
      <c r="G24" s="230">
        <f>G9+G14+G15+G20+G23</f>
        <v>3061568</v>
      </c>
      <c r="H24" s="230">
        <f>H9+H14+H15+H20+H23</f>
        <v>7779397</v>
      </c>
      <c r="I24" s="230">
        <f t="shared" si="4"/>
        <v>0</v>
      </c>
      <c r="J24" s="230" t="e">
        <f t="shared" si="4"/>
        <v>#DIV/0!</v>
      </c>
      <c r="K24" s="230">
        <f t="shared" si="4"/>
        <v>0</v>
      </c>
      <c r="L24" s="230">
        <f t="shared" si="4"/>
        <v>50100</v>
      </c>
      <c r="M24" s="230">
        <f t="shared" si="4"/>
        <v>50100</v>
      </c>
      <c r="N24" s="230">
        <f>N9+N14+N15+N20+N23</f>
        <v>3032512</v>
      </c>
      <c r="O24" s="230">
        <f>O9+O14+O15+O20+O23</f>
        <v>3061568</v>
      </c>
      <c r="P24" s="230">
        <f>P9+P14+P15+P20+P23</f>
        <v>7779397</v>
      </c>
      <c r="Q24" s="230">
        <f t="shared" si="4"/>
        <v>0</v>
      </c>
      <c r="R24" s="373" t="e">
        <f t="shared" si="4"/>
        <v>#DIV/0!</v>
      </c>
      <c r="S24" s="230"/>
      <c r="T24" s="230"/>
      <c r="U24" s="230"/>
      <c r="V24" s="230"/>
      <c r="W24" s="230"/>
      <c r="X24" s="230"/>
      <c r="Y24" s="375"/>
      <c r="Z24" s="375"/>
      <c r="AA24" s="174"/>
      <c r="AB24" s="174"/>
      <c r="AC24" s="174"/>
      <c r="AD24" s="174"/>
      <c r="AE24" s="116"/>
      <c r="AF24" s="174"/>
    </row>
    <row r="25" spans="1:32" s="123" customFormat="1" ht="12" customHeight="1" thickBot="1">
      <c r="A25" s="138" t="s">
        <v>11</v>
      </c>
      <c r="B25" s="117"/>
      <c r="C25" s="139" t="s">
        <v>128</v>
      </c>
      <c r="D25" s="231">
        <f aca="true" t="shared" si="5" ref="D25:I25">SUM(D26:D28)</f>
        <v>107851862</v>
      </c>
      <c r="E25" s="231">
        <f t="shared" si="5"/>
        <v>107851862</v>
      </c>
      <c r="F25" s="231">
        <f t="shared" si="5"/>
        <v>107851862</v>
      </c>
      <c r="G25" s="231">
        <f t="shared" si="5"/>
        <v>107851862</v>
      </c>
      <c r="H25" s="231">
        <f t="shared" si="5"/>
        <v>101923877</v>
      </c>
      <c r="I25" s="231">
        <f t="shared" si="5"/>
        <v>0</v>
      </c>
      <c r="J25" s="316">
        <f>I25/H25</f>
        <v>0</v>
      </c>
      <c r="K25" s="494">
        <f aca="true" t="shared" si="6" ref="K25:V25">SUM(K26:K28)</f>
        <v>0</v>
      </c>
      <c r="L25" s="231">
        <f t="shared" si="6"/>
        <v>99195962</v>
      </c>
      <c r="M25" s="231">
        <f t="shared" si="6"/>
        <v>99195962</v>
      </c>
      <c r="N25" s="231">
        <f t="shared" si="6"/>
        <v>99195962</v>
      </c>
      <c r="O25" s="231">
        <f t="shared" si="6"/>
        <v>99195962</v>
      </c>
      <c r="P25" s="231">
        <f>SUM(P26:P28)</f>
        <v>95082225</v>
      </c>
      <c r="Q25" s="231">
        <f t="shared" si="6"/>
        <v>0</v>
      </c>
      <c r="R25" s="231">
        <f t="shared" si="6"/>
        <v>0</v>
      </c>
      <c r="S25" s="231">
        <f t="shared" si="6"/>
        <v>8655900</v>
      </c>
      <c r="T25" s="231">
        <f t="shared" si="6"/>
        <v>8655900</v>
      </c>
      <c r="U25" s="231">
        <f t="shared" si="6"/>
        <v>8655900</v>
      </c>
      <c r="V25" s="231">
        <f t="shared" si="6"/>
        <v>8655900</v>
      </c>
      <c r="W25" s="231">
        <f aca="true" t="shared" si="7" ref="W25:AC25">SUM(W26:W28)</f>
        <v>6841652</v>
      </c>
      <c r="X25" s="231">
        <f t="shared" si="7"/>
        <v>6843890</v>
      </c>
      <c r="Y25" s="231">
        <f t="shared" si="7"/>
        <v>6843890</v>
      </c>
      <c r="Z25" s="231">
        <f t="shared" si="7"/>
        <v>6843890</v>
      </c>
      <c r="AA25" s="231">
        <f t="shared" si="7"/>
        <v>6843890</v>
      </c>
      <c r="AB25" s="231">
        <f t="shared" si="7"/>
        <v>6843890</v>
      </c>
      <c r="AC25" s="231">
        <f t="shared" si="7"/>
        <v>0</v>
      </c>
      <c r="AD25" s="174"/>
      <c r="AE25" s="116"/>
      <c r="AF25" s="174"/>
    </row>
    <row r="26" spans="1:32" s="123" customFormat="1" ht="15" customHeight="1" thickBot="1">
      <c r="A26" s="118"/>
      <c r="B26" s="140" t="s">
        <v>43</v>
      </c>
      <c r="C26" s="130" t="s">
        <v>130</v>
      </c>
      <c r="D26" s="176">
        <v>900462</v>
      </c>
      <c r="E26" s="176">
        <v>900462</v>
      </c>
      <c r="F26" s="176">
        <v>900462</v>
      </c>
      <c r="G26" s="176">
        <v>900462</v>
      </c>
      <c r="H26" s="176">
        <v>900462</v>
      </c>
      <c r="I26" s="176"/>
      <c r="J26" s="635"/>
      <c r="K26" s="131"/>
      <c r="L26" s="176">
        <f aca="true" t="shared" si="8" ref="L26:P27">+D26-S26</f>
        <v>900462</v>
      </c>
      <c r="M26" s="176">
        <f t="shared" si="8"/>
        <v>900462</v>
      </c>
      <c r="N26" s="176">
        <f t="shared" si="8"/>
        <v>900462</v>
      </c>
      <c r="O26" s="176">
        <f t="shared" si="8"/>
        <v>900462</v>
      </c>
      <c r="P26" s="176">
        <f t="shared" si="8"/>
        <v>900462</v>
      </c>
      <c r="Q26" s="176"/>
      <c r="R26" s="951"/>
      <c r="S26" s="176"/>
      <c r="T26" s="176"/>
      <c r="U26" s="176"/>
      <c r="V26" s="176"/>
      <c r="W26" s="176"/>
      <c r="X26" s="638"/>
      <c r="Y26" s="638"/>
      <c r="Z26" s="638"/>
      <c r="AA26" s="638"/>
      <c r="AB26" s="638"/>
      <c r="AC26" s="176"/>
      <c r="AD26" s="385"/>
      <c r="AE26" s="232"/>
      <c r="AF26" s="385"/>
    </row>
    <row r="27" spans="1:32" s="123" customFormat="1" ht="15" customHeight="1">
      <c r="A27" s="495"/>
      <c r="B27" s="496" t="s">
        <v>44</v>
      </c>
      <c r="C27" s="409" t="s">
        <v>445</v>
      </c>
      <c r="D27" s="498">
        <v>106951400</v>
      </c>
      <c r="E27" s="498">
        <v>106951400</v>
      </c>
      <c r="F27" s="498">
        <v>106951400</v>
      </c>
      <c r="G27" s="498">
        <v>106951400</v>
      </c>
      <c r="H27" s="498">
        <v>101023415</v>
      </c>
      <c r="I27" s="498"/>
      <c r="J27" s="635"/>
      <c r="K27" s="502"/>
      <c r="L27" s="498">
        <f t="shared" si="8"/>
        <v>98295500</v>
      </c>
      <c r="M27" s="498">
        <f t="shared" si="8"/>
        <v>98295500</v>
      </c>
      <c r="N27" s="498">
        <f t="shared" si="8"/>
        <v>98295500</v>
      </c>
      <c r="O27" s="498">
        <f t="shared" si="8"/>
        <v>98295500</v>
      </c>
      <c r="P27" s="498">
        <f t="shared" si="8"/>
        <v>94181763</v>
      </c>
      <c r="Q27" s="498"/>
      <c r="R27" s="951"/>
      <c r="S27" s="498">
        <v>8655900</v>
      </c>
      <c r="T27" s="498">
        <v>8655900</v>
      </c>
      <c r="U27" s="498">
        <v>8655900</v>
      </c>
      <c r="V27" s="498">
        <v>8655900</v>
      </c>
      <c r="W27" s="498">
        <v>6841652</v>
      </c>
      <c r="X27" s="955">
        <v>6843890</v>
      </c>
      <c r="Y27" s="955">
        <v>6843890</v>
      </c>
      <c r="Z27" s="955">
        <v>6843890</v>
      </c>
      <c r="AA27" s="955">
        <v>6843890</v>
      </c>
      <c r="AB27" s="955">
        <v>6843890</v>
      </c>
      <c r="AC27" s="499"/>
      <c r="AD27" s="500"/>
      <c r="AE27" s="501"/>
      <c r="AF27" s="500"/>
    </row>
    <row r="28" spans="1:32" s="123" customFormat="1" ht="15" customHeight="1" thickBot="1">
      <c r="A28" s="141"/>
      <c r="B28" s="142" t="s">
        <v>70</v>
      </c>
      <c r="C28" s="143" t="s">
        <v>132</v>
      </c>
      <c r="D28" s="180"/>
      <c r="E28" s="180"/>
      <c r="F28" s="180"/>
      <c r="G28" s="180"/>
      <c r="H28" s="180"/>
      <c r="I28" s="180"/>
      <c r="J28" s="612"/>
      <c r="K28" s="144"/>
      <c r="L28" s="180"/>
      <c r="M28" s="180"/>
      <c r="N28" s="180"/>
      <c r="O28" s="180"/>
      <c r="P28" s="180"/>
      <c r="Q28" s="180"/>
      <c r="R28" s="952"/>
      <c r="S28" s="180"/>
      <c r="T28" s="180"/>
      <c r="U28" s="180"/>
      <c r="V28" s="180"/>
      <c r="W28" s="180"/>
      <c r="X28" s="640"/>
      <c r="Y28" s="640"/>
      <c r="Z28" s="640"/>
      <c r="AA28" s="640"/>
      <c r="AB28" s="640"/>
      <c r="AC28" s="382"/>
      <c r="AD28" s="180"/>
      <c r="AE28" s="144"/>
      <c r="AF28" s="180"/>
    </row>
    <row r="29" spans="1:32" ht="13.5" hidden="1" thickBot="1">
      <c r="A29" s="145" t="s">
        <v>12</v>
      </c>
      <c r="B29" s="146"/>
      <c r="C29" s="147" t="s">
        <v>133</v>
      </c>
      <c r="D29" s="227"/>
      <c r="E29" s="227"/>
      <c r="F29" s="227"/>
      <c r="G29" s="227"/>
      <c r="H29" s="227"/>
      <c r="I29" s="227"/>
      <c r="J29" s="613" t="e">
        <f>H29/F29</f>
        <v>#DIV/0!</v>
      </c>
      <c r="K29" s="136"/>
      <c r="L29" s="227"/>
      <c r="M29" s="227"/>
      <c r="N29" s="227"/>
      <c r="O29" s="227"/>
      <c r="P29" s="227"/>
      <c r="Q29" s="227"/>
      <c r="R29" s="940" t="e">
        <f>P29/N29</f>
        <v>#DIV/0!</v>
      </c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380"/>
      <c r="AD29" s="178"/>
      <c r="AE29" s="136"/>
      <c r="AF29" s="178"/>
    </row>
    <row r="30" spans="1:32" s="111" customFormat="1" ht="16.5" customHeight="1" thickBot="1">
      <c r="A30" s="145" t="s">
        <v>12</v>
      </c>
      <c r="B30" s="148"/>
      <c r="C30" s="149" t="s">
        <v>273</v>
      </c>
      <c r="D30" s="233">
        <f aca="true" t="shared" si="9" ref="D30:I30">D24+D29+D25</f>
        <v>107901962</v>
      </c>
      <c r="E30" s="233">
        <f t="shared" si="9"/>
        <v>107901962</v>
      </c>
      <c r="F30" s="233">
        <f t="shared" si="9"/>
        <v>110884374</v>
      </c>
      <c r="G30" s="233">
        <f t="shared" si="9"/>
        <v>110913430</v>
      </c>
      <c r="H30" s="233">
        <f t="shared" si="9"/>
        <v>109703274</v>
      </c>
      <c r="I30" s="233">
        <f t="shared" si="9"/>
        <v>0</v>
      </c>
      <c r="J30" s="316">
        <f>I30/H30</f>
        <v>0</v>
      </c>
      <c r="K30" s="168">
        <f aca="true" t="shared" si="10" ref="K30:V30">K24+K29+K25</f>
        <v>0</v>
      </c>
      <c r="L30" s="233">
        <f t="shared" si="10"/>
        <v>99246062</v>
      </c>
      <c r="M30" s="233">
        <f t="shared" si="10"/>
        <v>99246062</v>
      </c>
      <c r="N30" s="233">
        <f t="shared" si="10"/>
        <v>102228474</v>
      </c>
      <c r="O30" s="233">
        <f t="shared" si="10"/>
        <v>102257530</v>
      </c>
      <c r="P30" s="233">
        <f>P24+P29+P25</f>
        <v>102861622</v>
      </c>
      <c r="Q30" s="233">
        <f t="shared" si="10"/>
        <v>0</v>
      </c>
      <c r="R30" s="233" t="e">
        <f t="shared" si="10"/>
        <v>#DIV/0!</v>
      </c>
      <c r="S30" s="233">
        <f t="shared" si="10"/>
        <v>8655900</v>
      </c>
      <c r="T30" s="233">
        <f t="shared" si="10"/>
        <v>8655900</v>
      </c>
      <c r="U30" s="233">
        <f t="shared" si="10"/>
        <v>8655900</v>
      </c>
      <c r="V30" s="233">
        <f t="shared" si="10"/>
        <v>8655900</v>
      </c>
      <c r="W30" s="233">
        <f aca="true" t="shared" si="11" ref="W30:AC30">W24+W29+W25</f>
        <v>6841652</v>
      </c>
      <c r="X30" s="233">
        <f t="shared" si="11"/>
        <v>6843890</v>
      </c>
      <c r="Y30" s="233">
        <f t="shared" si="11"/>
        <v>6843890</v>
      </c>
      <c r="Z30" s="233">
        <f t="shared" si="11"/>
        <v>6843890</v>
      </c>
      <c r="AA30" s="233">
        <f t="shared" si="11"/>
        <v>6843890</v>
      </c>
      <c r="AB30" s="233">
        <f t="shared" si="11"/>
        <v>6843890</v>
      </c>
      <c r="AC30" s="233">
        <f t="shared" si="11"/>
        <v>0</v>
      </c>
      <c r="AD30" s="181"/>
      <c r="AE30" s="168"/>
      <c r="AF30" s="181"/>
    </row>
    <row r="31" spans="1:25" s="154" customFormat="1" ht="12" customHeight="1">
      <c r="A31" s="151"/>
      <c r="B31" s="151"/>
      <c r="C31" s="152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</row>
    <row r="32" spans="1:25" ht="12" customHeight="1" thickBot="1">
      <c r="A32" s="155"/>
      <c r="B32" s="156"/>
      <c r="C32" s="156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</row>
    <row r="33" spans="1:31" ht="12" customHeight="1" thickBot="1">
      <c r="A33" s="158"/>
      <c r="B33" s="159"/>
      <c r="C33" s="160" t="s">
        <v>135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383"/>
      <c r="Y33" s="383"/>
      <c r="Z33" s="181"/>
      <c r="AA33" s="181"/>
      <c r="AB33" s="181"/>
      <c r="AC33" s="734"/>
      <c r="AD33" s="168"/>
      <c r="AE33" s="150"/>
    </row>
    <row r="34" spans="1:32" ht="12" customHeight="1" thickBot="1">
      <c r="A34" s="126" t="s">
        <v>26</v>
      </c>
      <c r="B34" s="161"/>
      <c r="C34" s="386" t="s">
        <v>136</v>
      </c>
      <c r="D34" s="375">
        <f aca="true" t="shared" si="12" ref="D34:I34">SUM(D35:D39)</f>
        <v>106462893</v>
      </c>
      <c r="E34" s="375">
        <f t="shared" si="12"/>
        <v>106462893</v>
      </c>
      <c r="F34" s="375">
        <f t="shared" si="12"/>
        <v>109445305</v>
      </c>
      <c r="G34" s="375">
        <f t="shared" si="12"/>
        <v>109474361</v>
      </c>
      <c r="H34" s="375">
        <f t="shared" si="12"/>
        <v>108633724</v>
      </c>
      <c r="I34" s="375">
        <f t="shared" si="12"/>
        <v>0</v>
      </c>
      <c r="J34" s="316">
        <f>I34/H34</f>
        <v>0</v>
      </c>
      <c r="K34" s="369">
        <f aca="true" t="shared" si="13" ref="K34:V34">SUM(K35:K39)</f>
        <v>0</v>
      </c>
      <c r="L34" s="375">
        <f t="shared" si="13"/>
        <v>97806993</v>
      </c>
      <c r="M34" s="375">
        <f t="shared" si="13"/>
        <v>97806993</v>
      </c>
      <c r="N34" s="375">
        <f t="shared" si="13"/>
        <v>100789405</v>
      </c>
      <c r="O34" s="375">
        <f t="shared" si="13"/>
        <v>100818461</v>
      </c>
      <c r="P34" s="375">
        <f>SUM(P35:P39)</f>
        <v>101792072</v>
      </c>
      <c r="Q34" s="375">
        <f t="shared" si="13"/>
        <v>0</v>
      </c>
      <c r="R34" s="375">
        <f t="shared" si="13"/>
        <v>0</v>
      </c>
      <c r="S34" s="375">
        <f t="shared" si="13"/>
        <v>8655900</v>
      </c>
      <c r="T34" s="375">
        <f t="shared" si="13"/>
        <v>8655900</v>
      </c>
      <c r="U34" s="375">
        <f t="shared" si="13"/>
        <v>8655900</v>
      </c>
      <c r="V34" s="375">
        <f t="shared" si="13"/>
        <v>8655900</v>
      </c>
      <c r="W34" s="375">
        <f aca="true" t="shared" si="14" ref="W34:AC34">SUM(W35:W39)</f>
        <v>6841652</v>
      </c>
      <c r="X34" s="375">
        <f t="shared" si="14"/>
        <v>6843890</v>
      </c>
      <c r="Y34" s="375">
        <f t="shared" si="14"/>
        <v>6843890</v>
      </c>
      <c r="Z34" s="375">
        <f t="shared" si="14"/>
        <v>6843890</v>
      </c>
      <c r="AA34" s="375">
        <f t="shared" si="14"/>
        <v>6843890</v>
      </c>
      <c r="AB34" s="375">
        <f t="shared" si="14"/>
        <v>6843890</v>
      </c>
      <c r="AC34" s="375">
        <f t="shared" si="14"/>
        <v>0</v>
      </c>
      <c r="AD34" s="316">
        <f>AC34/AB34</f>
        <v>0</v>
      </c>
      <c r="AE34" s="398"/>
      <c r="AF34" s="116">
        <f>SUM(AF35:AF39)</f>
        <v>0</v>
      </c>
    </row>
    <row r="35" spans="1:32" ht="12" customHeight="1">
      <c r="A35" s="162"/>
      <c r="B35" s="163" t="s">
        <v>110</v>
      </c>
      <c r="C35" s="387" t="s">
        <v>137</v>
      </c>
      <c r="D35" s="393">
        <v>73789382</v>
      </c>
      <c r="E35" s="393">
        <v>73789382</v>
      </c>
      <c r="F35" s="393">
        <v>75855426</v>
      </c>
      <c r="G35" s="393">
        <v>75884482</v>
      </c>
      <c r="H35" s="393">
        <v>77346486</v>
      </c>
      <c r="I35" s="393"/>
      <c r="J35" s="635"/>
      <c r="K35" s="633"/>
      <c r="L35" s="393">
        <f aca="true" t="shared" si="15" ref="L35:P37">+D35-S35</f>
        <v>66694382</v>
      </c>
      <c r="M35" s="393">
        <f t="shared" si="15"/>
        <v>66694382</v>
      </c>
      <c r="N35" s="393">
        <f t="shared" si="15"/>
        <v>68760426</v>
      </c>
      <c r="O35" s="393">
        <f t="shared" si="15"/>
        <v>68789482</v>
      </c>
      <c r="P35" s="393">
        <f t="shared" si="15"/>
        <v>71517109</v>
      </c>
      <c r="Q35" s="393"/>
      <c r="R35" s="635"/>
      <c r="S35" s="393">
        <v>7095000</v>
      </c>
      <c r="T35" s="393">
        <v>7095000</v>
      </c>
      <c r="U35" s="393">
        <v>7095000</v>
      </c>
      <c r="V35" s="393">
        <v>7095000</v>
      </c>
      <c r="W35" s="393">
        <v>5829377</v>
      </c>
      <c r="X35" s="377">
        <v>4877374</v>
      </c>
      <c r="Y35" s="377">
        <v>4877374</v>
      </c>
      <c r="Z35" s="377">
        <v>4877374</v>
      </c>
      <c r="AA35" s="377">
        <v>4877374</v>
      </c>
      <c r="AB35" s="377">
        <v>4877374</v>
      </c>
      <c r="AC35" s="377"/>
      <c r="AD35" s="635">
        <f>AC35/AB35</f>
        <v>0</v>
      </c>
      <c r="AE35" s="399"/>
      <c r="AF35" s="122"/>
    </row>
    <row r="36" spans="1:32" ht="12" customHeight="1">
      <c r="A36" s="164"/>
      <c r="B36" s="165" t="s">
        <v>111</v>
      </c>
      <c r="C36" s="388" t="s">
        <v>50</v>
      </c>
      <c r="D36" s="394">
        <v>14839148</v>
      </c>
      <c r="E36" s="394">
        <v>14839148</v>
      </c>
      <c r="F36" s="394">
        <v>15246233</v>
      </c>
      <c r="G36" s="394">
        <v>15246233</v>
      </c>
      <c r="H36" s="394">
        <v>15026267</v>
      </c>
      <c r="I36" s="394"/>
      <c r="J36" s="635"/>
      <c r="K36" s="401"/>
      <c r="L36" s="393">
        <f t="shared" si="15"/>
        <v>13278248</v>
      </c>
      <c r="M36" s="393">
        <f t="shared" si="15"/>
        <v>13278248</v>
      </c>
      <c r="N36" s="393">
        <f t="shared" si="15"/>
        <v>13685333</v>
      </c>
      <c r="O36" s="393">
        <f t="shared" si="15"/>
        <v>13685333</v>
      </c>
      <c r="P36" s="393">
        <f t="shared" si="15"/>
        <v>14013992</v>
      </c>
      <c r="Q36" s="394"/>
      <c r="R36" s="635"/>
      <c r="S36" s="394">
        <v>1560900</v>
      </c>
      <c r="T36" s="394">
        <v>1560900</v>
      </c>
      <c r="U36" s="394">
        <v>1560900</v>
      </c>
      <c r="V36" s="394">
        <v>1560900</v>
      </c>
      <c r="W36" s="394">
        <v>1012275</v>
      </c>
      <c r="X36" s="377">
        <v>955902</v>
      </c>
      <c r="Y36" s="377">
        <v>955902</v>
      </c>
      <c r="Z36" s="377">
        <v>955902</v>
      </c>
      <c r="AA36" s="377">
        <v>955902</v>
      </c>
      <c r="AB36" s="377">
        <v>955902</v>
      </c>
      <c r="AC36" s="377"/>
      <c r="AD36" s="635">
        <f>AC36/AB36</f>
        <v>0</v>
      </c>
      <c r="AE36" s="399"/>
      <c r="AF36" s="122"/>
    </row>
    <row r="37" spans="1:32" ht="12" customHeight="1">
      <c r="A37" s="164"/>
      <c r="B37" s="165" t="s">
        <v>112</v>
      </c>
      <c r="C37" s="388" t="s">
        <v>138</v>
      </c>
      <c r="D37" s="394">
        <v>17834363</v>
      </c>
      <c r="E37" s="394">
        <v>17834363</v>
      </c>
      <c r="F37" s="394">
        <v>18343646</v>
      </c>
      <c r="G37" s="394">
        <v>18343646</v>
      </c>
      <c r="H37" s="394">
        <v>16260971</v>
      </c>
      <c r="I37" s="394"/>
      <c r="J37" s="635"/>
      <c r="K37" s="401"/>
      <c r="L37" s="393">
        <f t="shared" si="15"/>
        <v>17834363</v>
      </c>
      <c r="M37" s="393">
        <f t="shared" si="15"/>
        <v>17834363</v>
      </c>
      <c r="N37" s="393">
        <f t="shared" si="15"/>
        <v>18343646</v>
      </c>
      <c r="O37" s="393">
        <f t="shared" si="15"/>
        <v>18343646</v>
      </c>
      <c r="P37" s="393">
        <f t="shared" si="15"/>
        <v>16260971</v>
      </c>
      <c r="Q37" s="394"/>
      <c r="R37" s="635"/>
      <c r="S37" s="394"/>
      <c r="T37" s="394"/>
      <c r="U37" s="394"/>
      <c r="V37" s="394"/>
      <c r="W37" s="394"/>
      <c r="X37" s="377">
        <v>1010614</v>
      </c>
      <c r="Y37" s="377">
        <v>1010614</v>
      </c>
      <c r="Z37" s="377">
        <v>1010614</v>
      </c>
      <c r="AA37" s="377">
        <v>1010614</v>
      </c>
      <c r="AB37" s="377">
        <v>1010614</v>
      </c>
      <c r="AC37" s="377"/>
      <c r="AD37" s="635">
        <f>AC37/AB37</f>
        <v>0</v>
      </c>
      <c r="AE37" s="399"/>
      <c r="AF37" s="122"/>
    </row>
    <row r="38" spans="1:32" s="154" customFormat="1" ht="12" customHeight="1">
      <c r="A38" s="164"/>
      <c r="B38" s="165" t="s">
        <v>113</v>
      </c>
      <c r="C38" s="388" t="s">
        <v>80</v>
      </c>
      <c r="D38" s="394"/>
      <c r="E38" s="394"/>
      <c r="F38" s="394"/>
      <c r="G38" s="394"/>
      <c r="H38" s="394"/>
      <c r="I38" s="394"/>
      <c r="J38" s="635"/>
      <c r="K38" s="401"/>
      <c r="L38" s="394"/>
      <c r="M38" s="394"/>
      <c r="N38" s="394"/>
      <c r="O38" s="394"/>
      <c r="P38" s="394"/>
      <c r="Q38" s="394"/>
      <c r="R38" s="635"/>
      <c r="S38" s="394"/>
      <c r="T38" s="394"/>
      <c r="U38" s="394"/>
      <c r="V38" s="394"/>
      <c r="W38" s="394"/>
      <c r="X38" s="377"/>
      <c r="Y38" s="377"/>
      <c r="Z38" s="377"/>
      <c r="AA38" s="377"/>
      <c r="AB38" s="377"/>
      <c r="AC38" s="377"/>
      <c r="AD38" s="122"/>
      <c r="AE38" s="400"/>
      <c r="AF38" s="122"/>
    </row>
    <row r="39" spans="1:32" ht="12" customHeight="1" thickBot="1">
      <c r="A39" s="164"/>
      <c r="B39" s="165" t="s">
        <v>49</v>
      </c>
      <c r="C39" s="388" t="s">
        <v>82</v>
      </c>
      <c r="D39" s="394"/>
      <c r="E39" s="394"/>
      <c r="F39" s="394"/>
      <c r="G39" s="394"/>
      <c r="H39" s="394"/>
      <c r="I39" s="394"/>
      <c r="J39" s="635"/>
      <c r="K39" s="401"/>
      <c r="L39" s="394"/>
      <c r="M39" s="394"/>
      <c r="N39" s="394"/>
      <c r="O39" s="394"/>
      <c r="P39" s="394"/>
      <c r="Q39" s="394"/>
      <c r="R39" s="635"/>
      <c r="S39" s="394"/>
      <c r="T39" s="394"/>
      <c r="U39" s="394"/>
      <c r="V39" s="394"/>
      <c r="W39" s="394"/>
      <c r="X39" s="394"/>
      <c r="Y39" s="394"/>
      <c r="Z39" s="394"/>
      <c r="AA39" s="394"/>
      <c r="AB39" s="394"/>
      <c r="AC39" s="394"/>
      <c r="AD39" s="166"/>
      <c r="AE39" s="401"/>
      <c r="AF39" s="166"/>
    </row>
    <row r="40" spans="1:32" ht="12" customHeight="1" thickBot="1">
      <c r="A40" s="126" t="s">
        <v>27</v>
      </c>
      <c r="B40" s="161"/>
      <c r="C40" s="386" t="s">
        <v>139</v>
      </c>
      <c r="D40" s="375">
        <f aca="true" t="shared" si="16" ref="D40:I40">SUM(D41:D44)</f>
        <v>1439069</v>
      </c>
      <c r="E40" s="375">
        <f t="shared" si="16"/>
        <v>1439069</v>
      </c>
      <c r="F40" s="375">
        <f t="shared" si="16"/>
        <v>1439069</v>
      </c>
      <c r="G40" s="375">
        <f t="shared" si="16"/>
        <v>1439069</v>
      </c>
      <c r="H40" s="375">
        <f t="shared" si="16"/>
        <v>1069550</v>
      </c>
      <c r="I40" s="375">
        <f t="shared" si="16"/>
        <v>0</v>
      </c>
      <c r="J40" s="316">
        <f>I40/H40</f>
        <v>0</v>
      </c>
      <c r="K40" s="369">
        <f aca="true" t="shared" si="17" ref="K40:Q40">SUM(K41:K44)</f>
        <v>0</v>
      </c>
      <c r="L40" s="375">
        <f t="shared" si="17"/>
        <v>1439069</v>
      </c>
      <c r="M40" s="375">
        <f>SUM(M41:M44)</f>
        <v>1439069</v>
      </c>
      <c r="N40" s="375">
        <f>SUM(N41:N44)</f>
        <v>1439069</v>
      </c>
      <c r="O40" s="375">
        <f>SUM(O41:O44)</f>
        <v>1439069</v>
      </c>
      <c r="P40" s="375">
        <f>SUM(P41:P44)</f>
        <v>1069550</v>
      </c>
      <c r="Q40" s="375">
        <f t="shared" si="17"/>
        <v>0</v>
      </c>
      <c r="R40" s="316">
        <f>Q40/P40</f>
        <v>0</v>
      </c>
      <c r="S40" s="375"/>
      <c r="T40" s="375"/>
      <c r="U40" s="375"/>
      <c r="V40" s="375"/>
      <c r="W40" s="375"/>
      <c r="X40" s="375">
        <f aca="true" t="shared" si="18" ref="X40:AD40">SUM(X41:X44)</f>
        <v>0</v>
      </c>
      <c r="Y40" s="375">
        <f>SUM(Y41:Y44)</f>
        <v>0</v>
      </c>
      <c r="Z40" s="375">
        <f>SUM(Z41:Z44)</f>
        <v>0</v>
      </c>
      <c r="AA40" s="375">
        <f>SUM(AA41:AA44)</f>
        <v>0</v>
      </c>
      <c r="AB40" s="375">
        <f>SUM(AB41:AB44)</f>
        <v>0</v>
      </c>
      <c r="AC40" s="375">
        <f t="shared" si="18"/>
        <v>0</v>
      </c>
      <c r="AD40" s="116">
        <f t="shared" si="18"/>
        <v>0</v>
      </c>
      <c r="AE40" s="369"/>
      <c r="AF40" s="116">
        <f>SUM(AF41:AF44)</f>
        <v>0</v>
      </c>
    </row>
    <row r="41" spans="1:32" ht="12" customHeight="1">
      <c r="A41" s="162"/>
      <c r="B41" s="163" t="s">
        <v>140</v>
      </c>
      <c r="C41" s="387" t="s">
        <v>92</v>
      </c>
      <c r="D41" s="394">
        <v>1439069</v>
      </c>
      <c r="E41" s="394">
        <v>1439069</v>
      </c>
      <c r="F41" s="394">
        <v>1439069</v>
      </c>
      <c r="G41" s="394">
        <v>1439069</v>
      </c>
      <c r="H41" s="394">
        <v>1069550</v>
      </c>
      <c r="I41" s="393"/>
      <c r="J41" s="635"/>
      <c r="K41" s="633"/>
      <c r="L41" s="393">
        <f>+D41-S41</f>
        <v>1439069</v>
      </c>
      <c r="M41" s="393">
        <f>+E41-T41</f>
        <v>1439069</v>
      </c>
      <c r="N41" s="393">
        <f>+F41-U41</f>
        <v>1439069</v>
      </c>
      <c r="O41" s="393">
        <f>+G41-V41</f>
        <v>1439069</v>
      </c>
      <c r="P41" s="393">
        <f>+H41-W41</f>
        <v>1069550</v>
      </c>
      <c r="Q41" s="393"/>
      <c r="R41" s="635">
        <f>Q41/P41</f>
        <v>0</v>
      </c>
      <c r="S41" s="393"/>
      <c r="T41" s="393"/>
      <c r="U41" s="393"/>
      <c r="V41" s="393"/>
      <c r="W41" s="393"/>
      <c r="X41" s="377"/>
      <c r="Y41" s="377"/>
      <c r="Z41" s="377"/>
      <c r="AA41" s="377"/>
      <c r="AB41" s="377"/>
      <c r="AC41" s="377"/>
      <c r="AD41" s="122"/>
      <c r="AE41" s="400"/>
      <c r="AF41" s="122"/>
    </row>
    <row r="42" spans="1:32" ht="12" customHeight="1">
      <c r="A42" s="164"/>
      <c r="B42" s="165" t="s">
        <v>141</v>
      </c>
      <c r="C42" s="388" t="s">
        <v>93</v>
      </c>
      <c r="D42" s="394"/>
      <c r="E42" s="394"/>
      <c r="F42" s="394"/>
      <c r="G42" s="394"/>
      <c r="H42" s="394"/>
      <c r="I42" s="394"/>
      <c r="J42" s="183"/>
      <c r="K42" s="401"/>
      <c r="L42" s="394"/>
      <c r="M42" s="394"/>
      <c r="N42" s="394"/>
      <c r="O42" s="394"/>
      <c r="P42" s="394"/>
      <c r="Q42" s="394"/>
      <c r="R42" s="183"/>
      <c r="S42" s="394"/>
      <c r="T42" s="394"/>
      <c r="U42" s="394"/>
      <c r="V42" s="394"/>
      <c r="W42" s="394"/>
      <c r="X42" s="394"/>
      <c r="Y42" s="394"/>
      <c r="Z42" s="394"/>
      <c r="AA42" s="394"/>
      <c r="AB42" s="394"/>
      <c r="AC42" s="394"/>
      <c r="AD42" s="166"/>
      <c r="AE42" s="401"/>
      <c r="AF42" s="166"/>
    </row>
    <row r="43" spans="1:32" ht="15" customHeight="1">
      <c r="A43" s="164"/>
      <c r="B43" s="165" t="s">
        <v>142</v>
      </c>
      <c r="C43" s="388" t="s">
        <v>143</v>
      </c>
      <c r="D43" s="394"/>
      <c r="E43" s="394"/>
      <c r="F43" s="394"/>
      <c r="G43" s="394"/>
      <c r="H43" s="394"/>
      <c r="I43" s="394"/>
      <c r="J43" s="183"/>
      <c r="K43" s="401"/>
      <c r="L43" s="394"/>
      <c r="M43" s="394"/>
      <c r="N43" s="394"/>
      <c r="O43" s="394"/>
      <c r="P43" s="394"/>
      <c r="Q43" s="394"/>
      <c r="R43" s="183"/>
      <c r="S43" s="394"/>
      <c r="T43" s="394"/>
      <c r="U43" s="394"/>
      <c r="V43" s="394"/>
      <c r="W43" s="394"/>
      <c r="X43" s="394"/>
      <c r="Y43" s="394"/>
      <c r="Z43" s="394"/>
      <c r="AA43" s="394"/>
      <c r="AB43" s="394"/>
      <c r="AC43" s="394"/>
      <c r="AD43" s="166"/>
      <c r="AE43" s="401"/>
      <c r="AF43" s="166"/>
    </row>
    <row r="44" spans="1:32" ht="23.25" thickBot="1">
      <c r="A44" s="164"/>
      <c r="B44" s="165" t="s">
        <v>144</v>
      </c>
      <c r="C44" s="388" t="s">
        <v>145</v>
      </c>
      <c r="D44" s="394"/>
      <c r="E44" s="394"/>
      <c r="F44" s="394"/>
      <c r="G44" s="394"/>
      <c r="H44" s="394"/>
      <c r="I44" s="394"/>
      <c r="J44" s="183"/>
      <c r="K44" s="401"/>
      <c r="L44" s="394"/>
      <c r="M44" s="394"/>
      <c r="N44" s="394"/>
      <c r="O44" s="394"/>
      <c r="P44" s="394"/>
      <c r="Q44" s="394"/>
      <c r="R44" s="183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166"/>
      <c r="AE44" s="401"/>
      <c r="AF44" s="166"/>
    </row>
    <row r="45" spans="1:32" ht="15" customHeight="1" hidden="1" thickBot="1">
      <c r="A45" s="126" t="s">
        <v>9</v>
      </c>
      <c r="B45" s="161"/>
      <c r="C45" s="389" t="s">
        <v>146</v>
      </c>
      <c r="D45" s="380"/>
      <c r="E45" s="380"/>
      <c r="F45" s="380"/>
      <c r="G45" s="380"/>
      <c r="H45" s="380"/>
      <c r="I45" s="380"/>
      <c r="J45" s="178"/>
      <c r="K45" s="370"/>
      <c r="L45" s="380"/>
      <c r="M45" s="380"/>
      <c r="N45" s="380"/>
      <c r="O45" s="380"/>
      <c r="P45" s="380"/>
      <c r="Q45" s="380"/>
      <c r="R45" s="178"/>
      <c r="S45" s="380"/>
      <c r="T45" s="380"/>
      <c r="U45" s="380"/>
      <c r="V45" s="380"/>
      <c r="W45" s="380"/>
      <c r="X45" s="380"/>
      <c r="Y45" s="380"/>
      <c r="Z45" s="380"/>
      <c r="AA45" s="380"/>
      <c r="AB45" s="380"/>
      <c r="AC45" s="380"/>
      <c r="AD45" s="136"/>
      <c r="AE45" s="370"/>
      <c r="AF45" s="136"/>
    </row>
    <row r="46" spans="1:32" ht="14.25" customHeight="1" hidden="1" thickBot="1">
      <c r="A46" s="145" t="s">
        <v>10</v>
      </c>
      <c r="B46" s="146"/>
      <c r="C46" s="390" t="s">
        <v>147</v>
      </c>
      <c r="D46" s="380"/>
      <c r="E46" s="380"/>
      <c r="F46" s="380"/>
      <c r="G46" s="380"/>
      <c r="H46" s="380"/>
      <c r="I46" s="380"/>
      <c r="J46" s="178"/>
      <c r="K46" s="370"/>
      <c r="L46" s="380"/>
      <c r="M46" s="380"/>
      <c r="N46" s="380"/>
      <c r="O46" s="380"/>
      <c r="P46" s="380"/>
      <c r="Q46" s="380"/>
      <c r="R46" s="178"/>
      <c r="S46" s="380"/>
      <c r="T46" s="380"/>
      <c r="U46" s="380"/>
      <c r="V46" s="380"/>
      <c r="W46" s="380"/>
      <c r="X46" s="380"/>
      <c r="Y46" s="380"/>
      <c r="Z46" s="380"/>
      <c r="AA46" s="380"/>
      <c r="AB46" s="380"/>
      <c r="AC46" s="380"/>
      <c r="AD46" s="136"/>
      <c r="AE46" s="370"/>
      <c r="AF46" s="136"/>
    </row>
    <row r="47" spans="1:32" ht="13.5" thickBot="1">
      <c r="A47" s="126" t="s">
        <v>9</v>
      </c>
      <c r="B47" s="167"/>
      <c r="C47" s="391" t="s">
        <v>274</v>
      </c>
      <c r="D47" s="383">
        <f aca="true" t="shared" si="19" ref="D47:I47">D34+D40+D45+D46</f>
        <v>107901962</v>
      </c>
      <c r="E47" s="383">
        <f t="shared" si="19"/>
        <v>107901962</v>
      </c>
      <c r="F47" s="383">
        <f t="shared" si="19"/>
        <v>110884374</v>
      </c>
      <c r="G47" s="383">
        <f t="shared" si="19"/>
        <v>110913430</v>
      </c>
      <c r="H47" s="383">
        <f t="shared" si="19"/>
        <v>109703274</v>
      </c>
      <c r="I47" s="383">
        <f t="shared" si="19"/>
        <v>0</v>
      </c>
      <c r="J47" s="316">
        <f>I47/H47</f>
        <v>0</v>
      </c>
      <c r="K47" s="150">
        <f aca="true" t="shared" si="20" ref="K47:S47">K34+K40+K45+K46</f>
        <v>0</v>
      </c>
      <c r="L47" s="383">
        <f t="shared" si="20"/>
        <v>99246062</v>
      </c>
      <c r="M47" s="383">
        <f>M34+M40+M45+M46</f>
        <v>99246062</v>
      </c>
      <c r="N47" s="383">
        <f>N34+N40+N45+N46</f>
        <v>102228474</v>
      </c>
      <c r="O47" s="383">
        <f>O34+O40+O45+O46</f>
        <v>102257530</v>
      </c>
      <c r="P47" s="383">
        <f>P34+P40+P45+P46</f>
        <v>102861622</v>
      </c>
      <c r="Q47" s="383">
        <f t="shared" si="20"/>
        <v>0</v>
      </c>
      <c r="R47" s="383">
        <f t="shared" si="20"/>
        <v>0</v>
      </c>
      <c r="S47" s="383">
        <f t="shared" si="20"/>
        <v>8655900</v>
      </c>
      <c r="T47" s="383">
        <f aca="true" t="shared" si="21" ref="T47:AC47">T34+T40+T45+T46</f>
        <v>8655900</v>
      </c>
      <c r="U47" s="383">
        <f t="shared" si="21"/>
        <v>8655900</v>
      </c>
      <c r="V47" s="383">
        <f t="shared" si="21"/>
        <v>8655900</v>
      </c>
      <c r="W47" s="383">
        <f t="shared" si="21"/>
        <v>6841652</v>
      </c>
      <c r="X47" s="383">
        <f t="shared" si="21"/>
        <v>6843890</v>
      </c>
      <c r="Y47" s="383">
        <f t="shared" si="21"/>
        <v>6843890</v>
      </c>
      <c r="Z47" s="383">
        <f t="shared" si="21"/>
        <v>6843890</v>
      </c>
      <c r="AA47" s="383">
        <f t="shared" si="21"/>
        <v>6843890</v>
      </c>
      <c r="AB47" s="383">
        <f t="shared" si="21"/>
        <v>6843890</v>
      </c>
      <c r="AC47" s="383">
        <f t="shared" si="21"/>
        <v>0</v>
      </c>
      <c r="AD47" s="316">
        <f>AC47/AB47</f>
        <v>0</v>
      </c>
      <c r="AE47" s="402">
        <f>AD47/AB47</f>
        <v>0</v>
      </c>
      <c r="AF47" s="168">
        <f>AF34+AF40+AF45+AF46</f>
        <v>0</v>
      </c>
    </row>
    <row r="48" spans="4:32" ht="13.5" thickBot="1">
      <c r="D48" s="403"/>
      <c r="E48" s="403"/>
      <c r="F48" s="403"/>
      <c r="G48" s="403"/>
      <c r="H48" s="403"/>
      <c r="I48" s="403"/>
      <c r="J48" s="404"/>
      <c r="K48" s="634"/>
      <c r="L48" s="403"/>
      <c r="M48" s="403"/>
      <c r="N48" s="403"/>
      <c r="O48" s="403"/>
      <c r="P48" s="403"/>
      <c r="Q48" s="403"/>
      <c r="R48" s="404"/>
      <c r="S48" s="403"/>
      <c r="T48" s="403"/>
      <c r="U48" s="403"/>
      <c r="V48" s="403"/>
      <c r="W48" s="403"/>
      <c r="X48" s="403"/>
      <c r="Y48" s="403"/>
      <c r="Z48" s="403"/>
      <c r="AA48" s="403"/>
      <c r="AB48" s="403"/>
      <c r="AC48" s="403"/>
      <c r="AD48" s="405"/>
      <c r="AF48" s="405"/>
    </row>
    <row r="49" spans="1:32" ht="13.5" thickBot="1">
      <c r="A49" s="170" t="s">
        <v>149</v>
      </c>
      <c r="B49" s="171"/>
      <c r="C49" s="392"/>
      <c r="D49" s="406">
        <v>17</v>
      </c>
      <c r="E49" s="406">
        <v>18</v>
      </c>
      <c r="F49" s="406">
        <v>18</v>
      </c>
      <c r="G49" s="406">
        <v>18</v>
      </c>
      <c r="H49" s="406">
        <v>17</v>
      </c>
      <c r="I49" s="406">
        <v>17</v>
      </c>
      <c r="J49" s="316"/>
      <c r="K49" s="185"/>
      <c r="L49" s="406">
        <v>17</v>
      </c>
      <c r="M49" s="406">
        <v>18</v>
      </c>
      <c r="N49" s="406">
        <v>18</v>
      </c>
      <c r="O49" s="406">
        <v>18</v>
      </c>
      <c r="P49" s="406">
        <v>17</v>
      </c>
      <c r="Q49" s="406">
        <v>17</v>
      </c>
      <c r="R49" s="316"/>
      <c r="S49" s="406">
        <v>0</v>
      </c>
      <c r="T49" s="406">
        <v>0</v>
      </c>
      <c r="U49" s="406">
        <v>0</v>
      </c>
      <c r="V49" s="406">
        <v>0</v>
      </c>
      <c r="W49" s="406">
        <v>0</v>
      </c>
      <c r="X49" s="406">
        <v>0</v>
      </c>
      <c r="Y49" s="406">
        <v>0</v>
      </c>
      <c r="Z49" s="406">
        <v>0</v>
      </c>
      <c r="AA49" s="406">
        <v>0</v>
      </c>
      <c r="AB49" s="406">
        <v>0</v>
      </c>
      <c r="AC49" s="406">
        <v>0</v>
      </c>
      <c r="AD49" s="316" t="e">
        <f>AC49/AB49</f>
        <v>#DIV/0!</v>
      </c>
      <c r="AE49" s="185"/>
      <c r="AF49" s="395"/>
    </row>
    <row r="50" spans="1:32" ht="13.5" thickBot="1">
      <c r="A50" s="170" t="s">
        <v>150</v>
      </c>
      <c r="B50" s="171"/>
      <c r="C50" s="392"/>
      <c r="D50" s="406">
        <v>0</v>
      </c>
      <c r="E50" s="406">
        <v>0</v>
      </c>
      <c r="F50" s="406">
        <v>0</v>
      </c>
      <c r="G50" s="406">
        <v>0</v>
      </c>
      <c r="H50" s="406">
        <v>0</v>
      </c>
      <c r="I50" s="406">
        <v>0</v>
      </c>
      <c r="J50" s="316"/>
      <c r="K50" s="185"/>
      <c r="L50" s="406">
        <v>0</v>
      </c>
      <c r="M50" s="406">
        <v>0</v>
      </c>
      <c r="N50" s="406">
        <v>0</v>
      </c>
      <c r="O50" s="406">
        <v>0</v>
      </c>
      <c r="P50" s="406">
        <v>0</v>
      </c>
      <c r="Q50" s="406">
        <v>0</v>
      </c>
      <c r="R50" s="316"/>
      <c r="S50" s="406">
        <v>0</v>
      </c>
      <c r="T50" s="406">
        <v>0</v>
      </c>
      <c r="U50" s="406">
        <v>0</v>
      </c>
      <c r="V50" s="406">
        <v>0</v>
      </c>
      <c r="W50" s="406">
        <v>0</v>
      </c>
      <c r="X50" s="406">
        <v>0</v>
      </c>
      <c r="Y50" s="406">
        <v>0</v>
      </c>
      <c r="Z50" s="406">
        <v>0</v>
      </c>
      <c r="AA50" s="406">
        <v>0</v>
      </c>
      <c r="AB50" s="406">
        <v>0</v>
      </c>
      <c r="AC50" s="406">
        <v>0</v>
      </c>
      <c r="AD50" s="395"/>
      <c r="AE50" s="185"/>
      <c r="AF50" s="395"/>
    </row>
    <row r="51" spans="6:23" ht="7.5" customHeight="1">
      <c r="F51" s="187"/>
      <c r="G51" s="187"/>
      <c r="H51" s="187"/>
      <c r="I51" s="187"/>
      <c r="J51" s="187"/>
      <c r="K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</row>
    <row r="52" spans="1:23" ht="12.75" hidden="1">
      <c r="A52" s="1192" t="s">
        <v>211</v>
      </c>
      <c r="B52" s="1192"/>
      <c r="C52" s="1192"/>
      <c r="F52" s="187"/>
      <c r="J52" s="107">
        <v>100213</v>
      </c>
      <c r="N52" s="187"/>
      <c r="O52" s="187"/>
      <c r="P52" s="187"/>
      <c r="Q52" s="187"/>
      <c r="R52" s="187"/>
      <c r="S52" s="187"/>
      <c r="T52" s="187"/>
      <c r="U52" s="187"/>
      <c r="V52" s="187"/>
      <c r="W52" s="187"/>
    </row>
    <row r="53" spans="4:11" ht="12.75">
      <c r="D53" s="187">
        <v>0</v>
      </c>
      <c r="E53" s="187"/>
      <c r="F53" s="187"/>
      <c r="G53" s="187"/>
      <c r="H53" s="187"/>
      <c r="I53" s="187"/>
      <c r="J53" s="187"/>
      <c r="K53" s="187"/>
    </row>
  </sheetData>
  <sheetProtection/>
  <mergeCells count="8">
    <mergeCell ref="C1:AB1"/>
    <mergeCell ref="A5:B5"/>
    <mergeCell ref="A3:X3"/>
    <mergeCell ref="A52:C52"/>
    <mergeCell ref="D5:K5"/>
    <mergeCell ref="L5:R5"/>
    <mergeCell ref="X5:AE5"/>
    <mergeCell ref="S5:W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8"/>
  <sheetViews>
    <sheetView workbookViewId="0" topLeftCell="E1">
      <selection activeCell="W8" sqref="W8"/>
    </sheetView>
  </sheetViews>
  <sheetFormatPr defaultColWidth="9.140625" defaultRowHeight="12.75"/>
  <cols>
    <col min="1" max="1" width="8.28125" style="264" customWidth="1"/>
    <col min="2" max="2" width="8.28125" style="261" customWidth="1"/>
    <col min="3" max="3" width="52.00390625" style="261" customWidth="1"/>
    <col min="4" max="4" width="13.28125" style="261" customWidth="1"/>
    <col min="5" max="5" width="11.28125" style="261" customWidth="1"/>
    <col min="6" max="6" width="11.00390625" style="261" customWidth="1"/>
    <col min="7" max="7" width="12.140625" style="261" customWidth="1"/>
    <col min="8" max="8" width="12.28125" style="261" customWidth="1"/>
    <col min="9" max="9" width="13.00390625" style="261" hidden="1" customWidth="1"/>
    <col min="10" max="10" width="9.8515625" style="261" hidden="1" customWidth="1"/>
    <col min="11" max="11" width="9.7109375" style="261" hidden="1" customWidth="1"/>
    <col min="12" max="12" width="13.7109375" style="261" customWidth="1"/>
    <col min="13" max="13" width="11.28125" style="261" customWidth="1"/>
    <col min="14" max="14" width="14.00390625" style="261" customWidth="1"/>
    <col min="15" max="15" width="11.28125" style="261" customWidth="1"/>
    <col min="16" max="16" width="12.28125" style="261" customWidth="1"/>
    <col min="17" max="17" width="13.00390625" style="261" hidden="1" customWidth="1"/>
    <col min="18" max="18" width="8.421875" style="261" hidden="1" customWidth="1"/>
    <col min="19" max="19" width="13.57421875" style="261" bestFit="1" customWidth="1"/>
    <col min="20" max="20" width="11.7109375" style="261" customWidth="1"/>
    <col min="21" max="21" width="7.140625" style="261" customWidth="1"/>
    <col min="22" max="22" width="8.57421875" style="261" customWidth="1"/>
    <col min="23" max="23" width="13.28125" style="261" customWidth="1"/>
    <col min="24" max="16384" width="9.140625" style="261" customWidth="1"/>
  </cols>
  <sheetData>
    <row r="1" spans="1:22" s="97" customFormat="1" ht="21" customHeight="1">
      <c r="A1" s="96"/>
      <c r="C1" s="98"/>
      <c r="D1" s="99"/>
      <c r="E1" s="99"/>
      <c r="F1" s="99"/>
      <c r="G1" s="99"/>
      <c r="H1" s="99"/>
      <c r="I1" s="99"/>
      <c r="J1" s="99"/>
      <c r="K1" s="99"/>
      <c r="L1" s="1188" t="s">
        <v>610</v>
      </c>
      <c r="M1" s="1188"/>
      <c r="N1" s="1188"/>
      <c r="O1" s="1188"/>
      <c r="P1" s="1188"/>
      <c r="Q1" s="1188"/>
      <c r="R1" s="1188"/>
      <c r="S1" s="1188"/>
      <c r="T1" s="1188"/>
      <c r="U1" s="1188"/>
      <c r="V1" s="1188"/>
    </row>
    <row r="2" spans="1:11" s="97" customFormat="1" ht="21" customHeight="1">
      <c r="A2" s="96"/>
      <c r="C2" s="101"/>
      <c r="D2" s="100"/>
      <c r="E2" s="100"/>
      <c r="F2" s="100"/>
      <c r="G2" s="100"/>
      <c r="H2" s="100"/>
      <c r="I2" s="100"/>
      <c r="J2" s="100"/>
      <c r="K2" s="100"/>
    </row>
    <row r="3" spans="1:19" s="102" customFormat="1" ht="25.5" customHeight="1">
      <c r="A3" s="1191" t="s">
        <v>215</v>
      </c>
      <c r="B3" s="1191"/>
      <c r="C3" s="1191"/>
      <c r="D3" s="1191"/>
      <c r="E3" s="1191"/>
      <c r="F3" s="1191"/>
      <c r="G3" s="1191"/>
      <c r="H3" s="1191"/>
      <c r="I3" s="1191"/>
      <c r="J3" s="1191"/>
      <c r="K3" s="1191"/>
      <c r="L3" s="1191"/>
      <c r="M3" s="1191"/>
      <c r="N3" s="1191"/>
      <c r="O3" s="1191"/>
      <c r="P3" s="1191"/>
      <c r="Q3" s="1191"/>
      <c r="R3" s="1191"/>
      <c r="S3" s="1191"/>
    </row>
    <row r="4" spans="1:19" s="105" customFormat="1" ht="15.75" customHeight="1" thickBot="1">
      <c r="A4" s="103"/>
      <c r="B4" s="103"/>
      <c r="C4" s="103"/>
      <c r="S4" s="104" t="s">
        <v>444</v>
      </c>
    </row>
    <row r="5" spans="1:23" s="105" customFormat="1" ht="41.25" customHeight="1" thickBot="1">
      <c r="A5" s="103"/>
      <c r="B5" s="103"/>
      <c r="C5" s="103"/>
      <c r="D5" s="1198" t="s">
        <v>4</v>
      </c>
      <c r="E5" s="1199"/>
      <c r="F5" s="1199"/>
      <c r="G5" s="1199"/>
      <c r="H5" s="1199"/>
      <c r="I5" s="1199"/>
      <c r="J5" s="1199"/>
      <c r="K5" s="1200"/>
      <c r="L5" s="1198" t="s">
        <v>104</v>
      </c>
      <c r="M5" s="1199"/>
      <c r="N5" s="1199"/>
      <c r="O5" s="1199"/>
      <c r="P5" s="1199"/>
      <c r="Q5" s="1199"/>
      <c r="R5" s="1200"/>
      <c r="S5" s="1198" t="s">
        <v>152</v>
      </c>
      <c r="T5" s="1199"/>
      <c r="U5" s="1199"/>
      <c r="V5" s="1199"/>
      <c r="W5" s="1199"/>
    </row>
    <row r="6" spans="1:23" ht="13.5" thickBot="1">
      <c r="A6" s="1189" t="s">
        <v>106</v>
      </c>
      <c r="B6" s="1190"/>
      <c r="C6" s="407" t="s">
        <v>107</v>
      </c>
      <c r="D6" s="397" t="s">
        <v>64</v>
      </c>
      <c r="E6" s="106" t="s">
        <v>226</v>
      </c>
      <c r="F6" s="106" t="s">
        <v>229</v>
      </c>
      <c r="G6" s="106" t="s">
        <v>231</v>
      </c>
      <c r="H6" s="407" t="s">
        <v>243</v>
      </c>
      <c r="I6" s="407" t="s">
        <v>248</v>
      </c>
      <c r="J6" s="368" t="s">
        <v>235</v>
      </c>
      <c r="K6" s="367" t="s">
        <v>247</v>
      </c>
      <c r="L6" s="397" t="s">
        <v>64</v>
      </c>
      <c r="M6" s="106" t="s">
        <v>226</v>
      </c>
      <c r="N6" s="106" t="s">
        <v>229</v>
      </c>
      <c r="O6" s="106" t="s">
        <v>231</v>
      </c>
      <c r="P6" s="407" t="s">
        <v>243</v>
      </c>
      <c r="Q6" s="407" t="s">
        <v>248</v>
      </c>
      <c r="R6" s="368" t="s">
        <v>235</v>
      </c>
      <c r="S6" s="397" t="s">
        <v>64</v>
      </c>
      <c r="T6" s="106" t="s">
        <v>226</v>
      </c>
      <c r="U6" s="106" t="s">
        <v>229</v>
      </c>
      <c r="V6" s="106" t="s">
        <v>231</v>
      </c>
      <c r="W6" s="407" t="s">
        <v>243</v>
      </c>
    </row>
    <row r="7" spans="1:23" s="111" customFormat="1" ht="12.75" customHeight="1" thickBot="1">
      <c r="A7" s="108">
        <v>1</v>
      </c>
      <c r="B7" s="109">
        <v>2</v>
      </c>
      <c r="C7" s="251">
        <v>3</v>
      </c>
      <c r="D7" s="108">
        <v>4</v>
      </c>
      <c r="E7" s="109">
        <v>5</v>
      </c>
      <c r="F7" s="109">
        <v>6</v>
      </c>
      <c r="G7" s="109">
        <v>7</v>
      </c>
      <c r="H7" s="251">
        <v>8</v>
      </c>
      <c r="I7" s="251">
        <v>5</v>
      </c>
      <c r="J7" s="110">
        <v>9</v>
      </c>
      <c r="K7" s="884">
        <v>9</v>
      </c>
      <c r="L7" s="108">
        <v>9</v>
      </c>
      <c r="M7" s="109">
        <v>10</v>
      </c>
      <c r="N7" s="109">
        <v>11</v>
      </c>
      <c r="O7" s="109">
        <v>12</v>
      </c>
      <c r="P7" s="251">
        <v>13</v>
      </c>
      <c r="Q7" s="110">
        <v>7</v>
      </c>
      <c r="R7" s="414">
        <v>15</v>
      </c>
      <c r="S7" s="108">
        <v>14</v>
      </c>
      <c r="T7" s="109">
        <v>15</v>
      </c>
      <c r="U7" s="110">
        <v>16</v>
      </c>
      <c r="V7" s="110">
        <v>17</v>
      </c>
      <c r="W7" s="110">
        <v>18</v>
      </c>
    </row>
    <row r="8" spans="1:23" s="111" customFormat="1" ht="15.75" customHeight="1" thickBot="1">
      <c r="A8" s="112"/>
      <c r="B8" s="113"/>
      <c r="C8" s="113" t="s">
        <v>108</v>
      </c>
      <c r="D8" s="374"/>
      <c r="E8" s="374"/>
      <c r="F8" s="419"/>
      <c r="G8" s="419"/>
      <c r="H8" s="719"/>
      <c r="I8" s="719"/>
      <c r="J8" s="642"/>
      <c r="K8" s="636"/>
      <c r="L8" s="374"/>
      <c r="M8" s="374"/>
      <c r="N8" s="228"/>
      <c r="O8" s="228"/>
      <c r="P8" s="720"/>
      <c r="Q8" s="229"/>
      <c r="R8" s="415"/>
      <c r="S8" s="421"/>
      <c r="T8" s="228"/>
      <c r="U8" s="229"/>
      <c r="V8" s="229"/>
      <c r="W8" s="229"/>
    </row>
    <row r="9" spans="1:23" s="117" customFormat="1" ht="12" customHeight="1" thickBot="1">
      <c r="A9" s="108" t="s">
        <v>26</v>
      </c>
      <c r="B9" s="114"/>
      <c r="C9" s="408" t="s">
        <v>333</v>
      </c>
      <c r="D9" s="375">
        <f aca="true" t="shared" si="0" ref="D9:I9">SUM(D10:D17)</f>
        <v>33323394</v>
      </c>
      <c r="E9" s="375">
        <f t="shared" si="0"/>
        <v>33368496</v>
      </c>
      <c r="F9" s="375">
        <f t="shared" si="0"/>
        <v>33480852</v>
      </c>
      <c r="G9" s="375">
        <f t="shared" si="0"/>
        <v>33519116</v>
      </c>
      <c r="H9" s="375">
        <f t="shared" si="0"/>
        <v>35539520</v>
      </c>
      <c r="I9" s="375">
        <f t="shared" si="0"/>
        <v>0</v>
      </c>
      <c r="J9" s="316"/>
      <c r="K9" s="230"/>
      <c r="L9" s="375">
        <f aca="true" t="shared" si="1" ref="L9:Q9">SUM(L10:L17)</f>
        <v>33323394</v>
      </c>
      <c r="M9" s="375">
        <f t="shared" si="1"/>
        <v>33368496</v>
      </c>
      <c r="N9" s="375">
        <f>SUM(N10:N17)</f>
        <v>33480852</v>
      </c>
      <c r="O9" s="375">
        <f>SUM(O10:O17)</f>
        <v>33519116</v>
      </c>
      <c r="P9" s="375">
        <f>SUM(P10:P17)</f>
        <v>35539520</v>
      </c>
      <c r="Q9" s="375">
        <f t="shared" si="1"/>
        <v>0</v>
      </c>
      <c r="R9" s="316">
        <f>Q9/P9</f>
        <v>0</v>
      </c>
      <c r="S9" s="375"/>
      <c r="T9" s="174"/>
      <c r="U9" s="116"/>
      <c r="V9" s="116"/>
      <c r="W9" s="116"/>
    </row>
    <row r="10" spans="1:23" s="117" customFormat="1" ht="12" customHeight="1">
      <c r="A10" s="118"/>
      <c r="B10" s="129" t="s">
        <v>35</v>
      </c>
      <c r="C10" s="785" t="s">
        <v>463</v>
      </c>
      <c r="D10" s="788">
        <v>17078500</v>
      </c>
      <c r="E10" s="788">
        <v>17078500</v>
      </c>
      <c r="F10" s="788">
        <v>17078500</v>
      </c>
      <c r="G10" s="788">
        <v>17078500</v>
      </c>
      <c r="H10" s="788">
        <v>18086381</v>
      </c>
      <c r="I10" s="788"/>
      <c r="J10" s="761"/>
      <c r="K10" s="777"/>
      <c r="L10" s="788">
        <v>17078500</v>
      </c>
      <c r="M10" s="788">
        <v>17078500</v>
      </c>
      <c r="N10" s="788">
        <v>17078500</v>
      </c>
      <c r="O10" s="788">
        <v>17078500</v>
      </c>
      <c r="P10" s="788">
        <v>18086381</v>
      </c>
      <c r="Q10" s="788"/>
      <c r="R10" s="761"/>
      <c r="S10" s="763"/>
      <c r="T10" s="759"/>
      <c r="U10" s="762"/>
      <c r="V10" s="762"/>
      <c r="W10" s="762"/>
    </row>
    <row r="11" spans="1:23" s="117" customFormat="1" ht="12" customHeight="1">
      <c r="A11" s="120"/>
      <c r="B11" s="119" t="s">
        <v>36</v>
      </c>
      <c r="C11" s="786" t="s">
        <v>331</v>
      </c>
      <c r="D11" s="789">
        <v>3200000</v>
      </c>
      <c r="E11" s="789">
        <v>3200000</v>
      </c>
      <c r="F11" s="789">
        <v>3200000</v>
      </c>
      <c r="G11" s="789">
        <v>3200000</v>
      </c>
      <c r="H11" s="789">
        <v>4006497</v>
      </c>
      <c r="I11" s="789"/>
      <c r="J11" s="767"/>
      <c r="K11" s="778"/>
      <c r="L11" s="789">
        <v>3200000</v>
      </c>
      <c r="M11" s="789">
        <v>3200000</v>
      </c>
      <c r="N11" s="789">
        <v>3200000</v>
      </c>
      <c r="O11" s="789">
        <v>3200000</v>
      </c>
      <c r="P11" s="789">
        <v>4006497</v>
      </c>
      <c r="Q11" s="789"/>
      <c r="R11" s="767"/>
      <c r="S11" s="769"/>
      <c r="T11" s="765"/>
      <c r="U11" s="768"/>
      <c r="V11" s="768"/>
      <c r="W11" s="768"/>
    </row>
    <row r="12" spans="1:23" s="117" customFormat="1" ht="12" customHeight="1">
      <c r="A12" s="120"/>
      <c r="B12" s="119" t="s">
        <v>37</v>
      </c>
      <c r="C12" s="786" t="s">
        <v>465</v>
      </c>
      <c r="D12" s="789"/>
      <c r="E12" s="789"/>
      <c r="F12" s="789"/>
      <c r="G12" s="789"/>
      <c r="H12" s="789"/>
      <c r="I12" s="789"/>
      <c r="J12" s="767"/>
      <c r="K12" s="778"/>
      <c r="L12" s="789"/>
      <c r="M12" s="789"/>
      <c r="N12" s="789"/>
      <c r="O12" s="789"/>
      <c r="P12" s="789"/>
      <c r="Q12" s="789"/>
      <c r="R12" s="767"/>
      <c r="S12" s="769"/>
      <c r="T12" s="765"/>
      <c r="U12" s="768"/>
      <c r="V12" s="768"/>
      <c r="W12" s="768"/>
    </row>
    <row r="13" spans="1:23" s="117" customFormat="1" ht="12" customHeight="1">
      <c r="A13" s="120"/>
      <c r="B13" s="119" t="s">
        <v>48</v>
      </c>
      <c r="C13" s="786" t="s">
        <v>466</v>
      </c>
      <c r="D13" s="789">
        <v>6595407</v>
      </c>
      <c r="E13" s="789">
        <v>6595407</v>
      </c>
      <c r="F13" s="789">
        <v>6595407</v>
      </c>
      <c r="G13" s="789">
        <v>6595407</v>
      </c>
      <c r="H13" s="789">
        <v>6162299</v>
      </c>
      <c r="I13" s="789"/>
      <c r="J13" s="767"/>
      <c r="K13" s="778"/>
      <c r="L13" s="789">
        <v>6595407</v>
      </c>
      <c r="M13" s="789">
        <v>6595407</v>
      </c>
      <c r="N13" s="789">
        <v>6595407</v>
      </c>
      <c r="O13" s="789">
        <v>6595407</v>
      </c>
      <c r="P13" s="789">
        <v>6162299</v>
      </c>
      <c r="Q13" s="789"/>
      <c r="R13" s="767"/>
      <c r="S13" s="769"/>
      <c r="T13" s="765"/>
      <c r="U13" s="768"/>
      <c r="V13" s="768"/>
      <c r="W13" s="768"/>
    </row>
    <row r="14" spans="1:23" s="117" customFormat="1" ht="12" customHeight="1">
      <c r="A14" s="120"/>
      <c r="B14" s="119" t="s">
        <v>49</v>
      </c>
      <c r="C14" s="787" t="s">
        <v>467</v>
      </c>
      <c r="D14" s="790">
        <v>6449487</v>
      </c>
      <c r="E14" s="790">
        <v>6449487</v>
      </c>
      <c r="F14" s="790">
        <v>6449487</v>
      </c>
      <c r="G14" s="790">
        <v>6449487</v>
      </c>
      <c r="H14" s="790">
        <f>7048259+15050</f>
        <v>7063309</v>
      </c>
      <c r="I14" s="790"/>
      <c r="J14" s="774"/>
      <c r="K14" s="784"/>
      <c r="L14" s="790">
        <v>6449487</v>
      </c>
      <c r="M14" s="790">
        <v>6449487</v>
      </c>
      <c r="N14" s="790">
        <v>6449487</v>
      </c>
      <c r="O14" s="790">
        <v>6449487</v>
      </c>
      <c r="P14" s="790">
        <f>7048259+15050</f>
        <v>7063309</v>
      </c>
      <c r="Q14" s="790"/>
      <c r="R14" s="774"/>
      <c r="S14" s="776"/>
      <c r="T14" s="772"/>
      <c r="U14" s="775"/>
      <c r="V14" s="775"/>
      <c r="W14" s="775"/>
    </row>
    <row r="15" spans="1:23" s="117" customFormat="1" ht="12" customHeight="1">
      <c r="A15" s="120"/>
      <c r="B15" s="119" t="s">
        <v>468</v>
      </c>
      <c r="C15" s="787" t="s">
        <v>308</v>
      </c>
      <c r="D15" s="776"/>
      <c r="E15" s="790">
        <v>20</v>
      </c>
      <c r="F15" s="790">
        <v>20</v>
      </c>
      <c r="G15" s="790">
        <v>20</v>
      </c>
      <c r="H15" s="790">
        <v>23</v>
      </c>
      <c r="I15" s="790"/>
      <c r="J15" s="852"/>
      <c r="K15" s="853"/>
      <c r="L15" s="776"/>
      <c r="M15" s="790">
        <v>20</v>
      </c>
      <c r="N15" s="790">
        <v>20</v>
      </c>
      <c r="O15" s="790">
        <v>20</v>
      </c>
      <c r="P15" s="790">
        <v>23</v>
      </c>
      <c r="Q15" s="790"/>
      <c r="R15" s="774"/>
      <c r="S15" s="776"/>
      <c r="T15" s="772"/>
      <c r="U15" s="775"/>
      <c r="V15" s="775"/>
      <c r="W15" s="775"/>
    </row>
    <row r="16" spans="1:23" s="117" customFormat="1" ht="12" customHeight="1">
      <c r="A16" s="120"/>
      <c r="B16" s="119" t="s">
        <v>469</v>
      </c>
      <c r="C16" s="771" t="s">
        <v>464</v>
      </c>
      <c r="D16" s="776"/>
      <c r="E16" s="790">
        <v>45082</v>
      </c>
      <c r="F16" s="790">
        <v>157438</v>
      </c>
      <c r="G16" s="790">
        <v>195702</v>
      </c>
      <c r="H16" s="790">
        <v>221011</v>
      </c>
      <c r="I16" s="790"/>
      <c r="J16" s="852"/>
      <c r="K16" s="853"/>
      <c r="L16" s="776"/>
      <c r="M16" s="790">
        <v>45082</v>
      </c>
      <c r="N16" s="790">
        <v>157438</v>
      </c>
      <c r="O16" s="790">
        <v>195702</v>
      </c>
      <c r="P16" s="790">
        <v>221011</v>
      </c>
      <c r="Q16" s="790"/>
      <c r="R16" s="774"/>
      <c r="S16" s="776"/>
      <c r="T16" s="772"/>
      <c r="U16" s="775"/>
      <c r="V16" s="775"/>
      <c r="W16" s="775"/>
    </row>
    <row r="17" spans="1:23" s="117" customFormat="1" ht="12" customHeight="1" thickBot="1">
      <c r="A17" s="791"/>
      <c r="B17" s="792"/>
      <c r="C17" s="779"/>
      <c r="D17" s="780"/>
      <c r="E17" s="780"/>
      <c r="F17" s="780"/>
      <c r="G17" s="780"/>
      <c r="H17" s="780"/>
      <c r="I17" s="854"/>
      <c r="J17" s="855"/>
      <c r="K17" s="856"/>
      <c r="L17" s="780"/>
      <c r="M17" s="780"/>
      <c r="N17" s="780"/>
      <c r="O17" s="780"/>
      <c r="P17" s="780"/>
      <c r="Q17" s="854"/>
      <c r="R17" s="781"/>
      <c r="S17" s="780"/>
      <c r="T17" s="782"/>
      <c r="U17" s="783"/>
      <c r="V17" s="783"/>
      <c r="W17" s="783"/>
    </row>
    <row r="18" spans="1:23" s="117" customFormat="1" ht="12" customHeight="1" thickBot="1">
      <c r="A18" s="108" t="s">
        <v>27</v>
      </c>
      <c r="B18" s="114"/>
      <c r="C18" s="408" t="s">
        <v>115</v>
      </c>
      <c r="D18" s="375">
        <f aca="true" t="shared" si="2" ref="D18:I18">D19+D21</f>
        <v>0</v>
      </c>
      <c r="E18" s="375">
        <f t="shared" si="2"/>
        <v>0</v>
      </c>
      <c r="F18" s="375">
        <f t="shared" si="2"/>
        <v>0</v>
      </c>
      <c r="G18" s="375">
        <f t="shared" si="2"/>
        <v>0</v>
      </c>
      <c r="H18" s="375">
        <f t="shared" si="2"/>
        <v>0</v>
      </c>
      <c r="I18" s="375">
        <f t="shared" si="2"/>
        <v>0</v>
      </c>
      <c r="J18" s="316"/>
      <c r="K18" s="230">
        <f aca="true" t="shared" si="3" ref="K18:Q18">K19+K21</f>
        <v>0</v>
      </c>
      <c r="L18" s="375">
        <f t="shared" si="3"/>
        <v>0</v>
      </c>
      <c r="M18" s="375">
        <f t="shared" si="3"/>
        <v>0</v>
      </c>
      <c r="N18" s="375">
        <f>N19+N21</f>
        <v>0</v>
      </c>
      <c r="O18" s="375">
        <f>O19+O21</f>
        <v>0</v>
      </c>
      <c r="P18" s="375">
        <f>P19+P21</f>
        <v>0</v>
      </c>
      <c r="Q18" s="375">
        <f t="shared" si="3"/>
        <v>0</v>
      </c>
      <c r="R18" s="316"/>
      <c r="S18" s="375"/>
      <c r="T18" s="174"/>
      <c r="U18" s="116"/>
      <c r="V18" s="116"/>
      <c r="W18" s="116"/>
    </row>
    <row r="19" spans="1:23" s="123" customFormat="1" ht="12" customHeight="1">
      <c r="A19" s="120"/>
      <c r="B19" s="119" t="s">
        <v>38</v>
      </c>
      <c r="C19" s="387" t="s">
        <v>71</v>
      </c>
      <c r="D19" s="377"/>
      <c r="E19" s="377"/>
      <c r="F19" s="377"/>
      <c r="G19" s="377"/>
      <c r="H19" s="377"/>
      <c r="I19" s="377"/>
      <c r="J19" s="608"/>
      <c r="K19" s="637"/>
      <c r="L19" s="377"/>
      <c r="M19" s="377"/>
      <c r="N19" s="377"/>
      <c r="O19" s="377"/>
      <c r="P19" s="377"/>
      <c r="Q19" s="377"/>
      <c r="R19" s="608"/>
      <c r="S19" s="377"/>
      <c r="T19" s="175"/>
      <c r="U19" s="122"/>
      <c r="V19" s="122"/>
      <c r="W19" s="122"/>
    </row>
    <row r="20" spans="1:23" s="123" customFormat="1" ht="12" customHeight="1">
      <c r="A20" s="120"/>
      <c r="B20" s="119" t="s">
        <v>39</v>
      </c>
      <c r="C20" s="388" t="s">
        <v>118</v>
      </c>
      <c r="D20" s="377"/>
      <c r="E20" s="377"/>
      <c r="F20" s="377"/>
      <c r="G20" s="377"/>
      <c r="H20" s="377"/>
      <c r="I20" s="377"/>
      <c r="J20" s="608"/>
      <c r="K20" s="637"/>
      <c r="L20" s="377"/>
      <c r="M20" s="377"/>
      <c r="N20" s="377"/>
      <c r="O20" s="377"/>
      <c r="P20" s="377"/>
      <c r="Q20" s="377"/>
      <c r="R20" s="608"/>
      <c r="S20" s="377"/>
      <c r="T20" s="175"/>
      <c r="U20" s="122"/>
      <c r="V20" s="122"/>
      <c r="W20" s="122"/>
    </row>
    <row r="21" spans="1:23" s="123" customFormat="1" ht="12" customHeight="1">
      <c r="A21" s="120"/>
      <c r="B21" s="119" t="s">
        <v>40</v>
      </c>
      <c r="C21" s="388" t="s">
        <v>72</v>
      </c>
      <c r="D21" s="377"/>
      <c r="E21" s="377"/>
      <c r="F21" s="377"/>
      <c r="G21" s="377"/>
      <c r="H21" s="377"/>
      <c r="I21" s="377"/>
      <c r="J21" s="608"/>
      <c r="K21" s="637"/>
      <c r="L21" s="377"/>
      <c r="M21" s="377"/>
      <c r="N21" s="377"/>
      <c r="O21" s="377"/>
      <c r="P21" s="377"/>
      <c r="Q21" s="377"/>
      <c r="R21" s="608"/>
      <c r="S21" s="377"/>
      <c r="T21" s="175"/>
      <c r="U21" s="122"/>
      <c r="V21" s="122"/>
      <c r="W21" s="122"/>
    </row>
    <row r="22" spans="1:23" s="123" customFormat="1" ht="12" customHeight="1" thickBot="1">
      <c r="A22" s="120"/>
      <c r="B22" s="119" t="s">
        <v>270</v>
      </c>
      <c r="C22" s="388" t="s">
        <v>118</v>
      </c>
      <c r="D22" s="377"/>
      <c r="E22" s="377"/>
      <c r="F22" s="377"/>
      <c r="G22" s="377"/>
      <c r="H22" s="377"/>
      <c r="I22" s="377"/>
      <c r="J22" s="608"/>
      <c r="K22" s="637"/>
      <c r="L22" s="377"/>
      <c r="M22" s="377"/>
      <c r="N22" s="377"/>
      <c r="O22" s="377"/>
      <c r="P22" s="377"/>
      <c r="Q22" s="377"/>
      <c r="R22" s="608"/>
      <c r="S22" s="377"/>
      <c r="T22" s="175"/>
      <c r="U22" s="122"/>
      <c r="V22" s="122"/>
      <c r="W22" s="122"/>
    </row>
    <row r="23" spans="1:23" s="123" customFormat="1" ht="12" customHeight="1" thickBot="1">
      <c r="A23" s="126" t="s">
        <v>9</v>
      </c>
      <c r="B23" s="127"/>
      <c r="C23" s="386" t="s">
        <v>121</v>
      </c>
      <c r="D23" s="375">
        <f aca="true" t="shared" si="4" ref="D23:I23">SUM(D24:D25)</f>
        <v>0</v>
      </c>
      <c r="E23" s="375">
        <f t="shared" si="4"/>
        <v>0</v>
      </c>
      <c r="F23" s="375">
        <f t="shared" si="4"/>
        <v>0</v>
      </c>
      <c r="G23" s="375">
        <f t="shared" si="4"/>
        <v>0</v>
      </c>
      <c r="H23" s="375">
        <f t="shared" si="4"/>
        <v>0</v>
      </c>
      <c r="I23" s="375">
        <f t="shared" si="4"/>
        <v>0</v>
      </c>
      <c r="J23" s="316"/>
      <c r="K23" s="230">
        <f aca="true" t="shared" si="5" ref="K23:Q23">SUM(K24:K25)</f>
        <v>0</v>
      </c>
      <c r="L23" s="375">
        <f t="shared" si="5"/>
        <v>0</v>
      </c>
      <c r="M23" s="375">
        <f t="shared" si="5"/>
        <v>0</v>
      </c>
      <c r="N23" s="375">
        <f>SUM(N24:N25)</f>
        <v>0</v>
      </c>
      <c r="O23" s="375">
        <f>SUM(O24:O25)</f>
        <v>0</v>
      </c>
      <c r="P23" s="375">
        <f>SUM(P24:P25)</f>
        <v>0</v>
      </c>
      <c r="Q23" s="375">
        <f t="shared" si="5"/>
        <v>0</v>
      </c>
      <c r="R23" s="316"/>
      <c r="S23" s="375"/>
      <c r="T23" s="174"/>
      <c r="U23" s="116"/>
      <c r="V23" s="116"/>
      <c r="W23" s="116"/>
    </row>
    <row r="24" spans="1:23" s="117" customFormat="1" ht="12" customHeight="1">
      <c r="A24" s="128"/>
      <c r="B24" s="129" t="s">
        <v>41</v>
      </c>
      <c r="C24" s="409" t="s">
        <v>123</v>
      </c>
      <c r="D24" s="378"/>
      <c r="E24" s="378"/>
      <c r="F24" s="378"/>
      <c r="G24" s="378"/>
      <c r="H24" s="378"/>
      <c r="I24" s="378"/>
      <c r="J24" s="609"/>
      <c r="K24" s="638"/>
      <c r="L24" s="378"/>
      <c r="M24" s="378"/>
      <c r="N24" s="378"/>
      <c r="O24" s="378"/>
      <c r="P24" s="378"/>
      <c r="Q24" s="378"/>
      <c r="R24" s="609"/>
      <c r="S24" s="378"/>
      <c r="T24" s="176"/>
      <c r="U24" s="131"/>
      <c r="V24" s="131"/>
      <c r="W24" s="131"/>
    </row>
    <row r="25" spans="1:23" s="117" customFormat="1" ht="12" customHeight="1" thickBot="1">
      <c r="A25" s="132"/>
      <c r="B25" s="133" t="s">
        <v>42</v>
      </c>
      <c r="C25" s="410" t="s">
        <v>125</v>
      </c>
      <c r="D25" s="379"/>
      <c r="E25" s="379"/>
      <c r="F25" s="379"/>
      <c r="G25" s="379"/>
      <c r="H25" s="379"/>
      <c r="I25" s="379"/>
      <c r="J25" s="610"/>
      <c r="K25" s="639"/>
      <c r="L25" s="379"/>
      <c r="M25" s="379"/>
      <c r="N25" s="379"/>
      <c r="O25" s="379"/>
      <c r="P25" s="379"/>
      <c r="Q25" s="379"/>
      <c r="R25" s="610"/>
      <c r="S25" s="379"/>
      <c r="T25" s="177"/>
      <c r="U25" s="135"/>
      <c r="V25" s="135"/>
      <c r="W25" s="135"/>
    </row>
    <row r="26" spans="1:23" s="117" customFormat="1" ht="12" customHeight="1" thickBot="1">
      <c r="A26" s="126"/>
      <c r="B26" s="114"/>
      <c r="D26" s="380"/>
      <c r="E26" s="380"/>
      <c r="F26" s="380"/>
      <c r="G26" s="380"/>
      <c r="H26" s="380"/>
      <c r="I26" s="380"/>
      <c r="J26" s="611"/>
      <c r="K26" s="227"/>
      <c r="L26" s="380"/>
      <c r="M26" s="380"/>
      <c r="N26" s="380"/>
      <c r="O26" s="380"/>
      <c r="P26" s="380"/>
      <c r="Q26" s="380"/>
      <c r="R26" s="611"/>
      <c r="S26" s="380"/>
      <c r="T26" s="178"/>
      <c r="U26" s="136"/>
      <c r="V26" s="136"/>
      <c r="W26" s="136"/>
    </row>
    <row r="27" spans="1:23" s="117" customFormat="1" ht="12" customHeight="1" thickBot="1">
      <c r="A27" s="108" t="s">
        <v>10</v>
      </c>
      <c r="B27" s="137"/>
      <c r="C27" s="386" t="s">
        <v>271</v>
      </c>
      <c r="D27" s="375">
        <f aca="true" t="shared" si="6" ref="D27:I27">D9+D18+D23+D26</f>
        <v>33323394</v>
      </c>
      <c r="E27" s="375">
        <f t="shared" si="6"/>
        <v>33368496</v>
      </c>
      <c r="F27" s="375">
        <f t="shared" si="6"/>
        <v>33480852</v>
      </c>
      <c r="G27" s="375">
        <f t="shared" si="6"/>
        <v>33519116</v>
      </c>
      <c r="H27" s="375">
        <f t="shared" si="6"/>
        <v>35539520</v>
      </c>
      <c r="I27" s="375">
        <f t="shared" si="6"/>
        <v>0</v>
      </c>
      <c r="J27" s="316">
        <f>I27/H27</f>
        <v>0</v>
      </c>
      <c r="K27" s="230">
        <f aca="true" t="shared" si="7" ref="K27:Q27">K9+K18+K23+K26</f>
        <v>0</v>
      </c>
      <c r="L27" s="375">
        <f t="shared" si="7"/>
        <v>33323394</v>
      </c>
      <c r="M27" s="375">
        <f t="shared" si="7"/>
        <v>33368496</v>
      </c>
      <c r="N27" s="375">
        <f>N9+N18+N23+N26</f>
        <v>33480852</v>
      </c>
      <c r="O27" s="375">
        <f>O9+O18+O23+O26</f>
        <v>33519116</v>
      </c>
      <c r="P27" s="375">
        <f>P9+P18+P23+P26</f>
        <v>35539520</v>
      </c>
      <c r="Q27" s="375">
        <f t="shared" si="7"/>
        <v>0</v>
      </c>
      <c r="R27" s="316">
        <f>Q27/P27</f>
        <v>0</v>
      </c>
      <c r="S27" s="375"/>
      <c r="T27" s="174"/>
      <c r="U27" s="116"/>
      <c r="V27" s="116"/>
      <c r="W27" s="116"/>
    </row>
    <row r="28" spans="1:23" s="123" customFormat="1" ht="12" customHeight="1" thickBot="1">
      <c r="A28" s="138" t="s">
        <v>11</v>
      </c>
      <c r="B28" s="117"/>
      <c r="C28" s="411" t="s">
        <v>272</v>
      </c>
      <c r="D28" s="381">
        <f aca="true" t="shared" si="8" ref="D28:I28">SUM(D29:D31)</f>
        <v>132284161</v>
      </c>
      <c r="E28" s="381">
        <f t="shared" si="8"/>
        <v>137714474</v>
      </c>
      <c r="F28" s="381">
        <f t="shared" si="8"/>
        <v>137839474</v>
      </c>
      <c r="G28" s="381">
        <f t="shared" si="8"/>
        <v>138450474</v>
      </c>
      <c r="H28" s="381">
        <f t="shared" si="8"/>
        <v>132060762</v>
      </c>
      <c r="I28" s="381">
        <f t="shared" si="8"/>
        <v>0</v>
      </c>
      <c r="J28" s="316">
        <f>I28/H28</f>
        <v>0</v>
      </c>
      <c r="K28" s="231">
        <f aca="true" t="shared" si="9" ref="K28:Q28">SUM(K29:K31)</f>
        <v>0</v>
      </c>
      <c r="L28" s="381">
        <f t="shared" si="9"/>
        <v>132284161</v>
      </c>
      <c r="M28" s="381">
        <f t="shared" si="9"/>
        <v>137714474</v>
      </c>
      <c r="N28" s="381">
        <f>SUM(N29:N31)</f>
        <v>137839474</v>
      </c>
      <c r="O28" s="381">
        <f>SUM(O29:O31)</f>
        <v>138450474</v>
      </c>
      <c r="P28" s="381">
        <f>SUM(P29:P31)</f>
        <v>132060762</v>
      </c>
      <c r="Q28" s="381">
        <f t="shared" si="9"/>
        <v>0</v>
      </c>
      <c r="R28" s="316">
        <f>Q28/P28</f>
        <v>0</v>
      </c>
      <c r="S28" s="375"/>
      <c r="T28" s="174"/>
      <c r="U28" s="116"/>
      <c r="V28" s="116"/>
      <c r="W28" s="116"/>
    </row>
    <row r="29" spans="1:23" s="123" customFormat="1" ht="15" customHeight="1" thickBot="1">
      <c r="A29" s="118"/>
      <c r="B29" s="140" t="s">
        <v>43</v>
      </c>
      <c r="C29" s="409" t="s">
        <v>130</v>
      </c>
      <c r="D29" s="854">
        <v>1681169</v>
      </c>
      <c r="E29" s="854">
        <v>1681169</v>
      </c>
      <c r="F29" s="854">
        <v>1681169</v>
      </c>
      <c r="G29" s="854">
        <v>1681169</v>
      </c>
      <c r="H29" s="854">
        <v>1681169</v>
      </c>
      <c r="I29" s="972"/>
      <c r="J29" s="612"/>
      <c r="K29" s="973"/>
      <c r="L29" s="974">
        <v>1681169</v>
      </c>
      <c r="M29" s="854">
        <v>1681169</v>
      </c>
      <c r="N29" s="854">
        <v>1681169</v>
      </c>
      <c r="O29" s="854">
        <v>1681169</v>
      </c>
      <c r="P29" s="854">
        <v>1681169</v>
      </c>
      <c r="Q29" s="378"/>
      <c r="R29" s="635">
        <f>Q29/P29</f>
        <v>0</v>
      </c>
      <c r="S29" s="384"/>
      <c r="T29" s="385"/>
      <c r="U29" s="232"/>
      <c r="V29" s="232"/>
      <c r="W29" s="232"/>
    </row>
    <row r="30" spans="1:23" s="123" customFormat="1" ht="15" customHeight="1">
      <c r="A30" s="495"/>
      <c r="B30" s="496" t="s">
        <v>44</v>
      </c>
      <c r="C30" s="409" t="s">
        <v>445</v>
      </c>
      <c r="D30" s="378">
        <v>130602992</v>
      </c>
      <c r="E30" s="378">
        <v>136033305</v>
      </c>
      <c r="F30" s="378">
        <v>136158305</v>
      </c>
      <c r="G30" s="378">
        <v>136769305</v>
      </c>
      <c r="H30" s="378">
        <v>130379593</v>
      </c>
      <c r="I30" s="378"/>
      <c r="J30" s="609"/>
      <c r="K30" s="638"/>
      <c r="L30" s="975">
        <v>130602992</v>
      </c>
      <c r="M30" s="378">
        <v>136033305</v>
      </c>
      <c r="N30" s="378">
        <v>136158305</v>
      </c>
      <c r="O30" s="378">
        <v>136769305</v>
      </c>
      <c r="P30" s="378">
        <v>130379593</v>
      </c>
      <c r="Q30" s="497"/>
      <c r="R30" s="635">
        <f>Q30/P30</f>
        <v>0</v>
      </c>
      <c r="S30" s="499"/>
      <c r="T30" s="500"/>
      <c r="U30" s="501"/>
      <c r="V30" s="501"/>
      <c r="W30" s="501"/>
    </row>
    <row r="31" spans="1:23" s="123" customFormat="1" ht="15" customHeight="1" thickBot="1">
      <c r="A31" s="141"/>
      <c r="B31" s="142" t="s">
        <v>70</v>
      </c>
      <c r="C31" s="412" t="s">
        <v>132</v>
      </c>
      <c r="D31" s="382"/>
      <c r="E31" s="382"/>
      <c r="F31" s="382"/>
      <c r="G31" s="382"/>
      <c r="H31" s="382"/>
      <c r="I31" s="382"/>
      <c r="J31" s="612"/>
      <c r="K31" s="640"/>
      <c r="L31" s="382"/>
      <c r="M31" s="382"/>
      <c r="N31" s="382"/>
      <c r="O31" s="382"/>
      <c r="P31" s="382"/>
      <c r="Q31" s="382"/>
      <c r="R31" s="612"/>
      <c r="S31" s="382"/>
      <c r="T31" s="180"/>
      <c r="U31" s="144"/>
      <c r="V31" s="144"/>
      <c r="W31" s="144"/>
    </row>
    <row r="32" spans="1:23" ht="13.5" thickBot="1">
      <c r="A32" s="145" t="s">
        <v>12</v>
      </c>
      <c r="B32" s="262"/>
      <c r="C32" s="390" t="s">
        <v>133</v>
      </c>
      <c r="D32" s="380"/>
      <c r="E32" s="380"/>
      <c r="F32" s="380"/>
      <c r="G32" s="380"/>
      <c r="H32" s="380"/>
      <c r="I32" s="380"/>
      <c r="J32" s="611"/>
      <c r="K32" s="227"/>
      <c r="L32" s="380"/>
      <c r="M32" s="380"/>
      <c r="N32" s="380"/>
      <c r="O32" s="380"/>
      <c r="P32" s="380"/>
      <c r="Q32" s="380"/>
      <c r="R32" s="611"/>
      <c r="S32" s="380"/>
      <c r="T32" s="178"/>
      <c r="U32" s="136"/>
      <c r="V32" s="136"/>
      <c r="W32" s="136"/>
    </row>
    <row r="33" spans="1:23" s="111" customFormat="1" ht="16.5" customHeight="1" thickBot="1">
      <c r="A33" s="145">
        <v>7</v>
      </c>
      <c r="B33" s="263"/>
      <c r="C33" s="413" t="s">
        <v>273</v>
      </c>
      <c r="D33" s="383">
        <f aca="true" t="shared" si="10" ref="D33:I33">D27+D32+D28</f>
        <v>165607555</v>
      </c>
      <c r="E33" s="383">
        <f t="shared" si="10"/>
        <v>171082970</v>
      </c>
      <c r="F33" s="383">
        <f t="shared" si="10"/>
        <v>171320326</v>
      </c>
      <c r="G33" s="383">
        <f t="shared" si="10"/>
        <v>171969590</v>
      </c>
      <c r="H33" s="383">
        <f t="shared" si="10"/>
        <v>167600282</v>
      </c>
      <c r="I33" s="383">
        <f t="shared" si="10"/>
        <v>0</v>
      </c>
      <c r="J33" s="316">
        <f>I33/H33</f>
        <v>0</v>
      </c>
      <c r="K33" s="233">
        <f aca="true" t="shared" si="11" ref="K33:Q33">K27+K32+K28</f>
        <v>0</v>
      </c>
      <c r="L33" s="383">
        <f t="shared" si="11"/>
        <v>165607555</v>
      </c>
      <c r="M33" s="383">
        <f t="shared" si="11"/>
        <v>171082970</v>
      </c>
      <c r="N33" s="383">
        <f>N27+N32+N28</f>
        <v>171320326</v>
      </c>
      <c r="O33" s="383">
        <f>O27+O32+O28</f>
        <v>171969590</v>
      </c>
      <c r="P33" s="383">
        <f>P27+P32+P28</f>
        <v>167600282</v>
      </c>
      <c r="Q33" s="383">
        <f t="shared" si="11"/>
        <v>0</v>
      </c>
      <c r="R33" s="316">
        <f>Q33/P33</f>
        <v>0</v>
      </c>
      <c r="S33" s="383"/>
      <c r="T33" s="181"/>
      <c r="U33" s="168"/>
      <c r="V33" s="168"/>
      <c r="W33" s="168"/>
    </row>
    <row r="34" spans="1:23" s="154" customFormat="1" ht="12" customHeight="1">
      <c r="A34" s="151"/>
      <c r="B34" s="151"/>
      <c r="C34" s="152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</row>
    <row r="35" spans="1:23" ht="12" customHeight="1" thickBot="1">
      <c r="A35" s="155"/>
      <c r="B35" s="156"/>
      <c r="C35" s="156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</row>
    <row r="36" spans="1:23" ht="12" customHeight="1" thickBot="1">
      <c r="A36" s="158"/>
      <c r="B36" s="159"/>
      <c r="C36" s="160" t="s">
        <v>135</v>
      </c>
      <c r="D36" s="383"/>
      <c r="E36" s="383"/>
      <c r="F36" s="383"/>
      <c r="G36" s="383"/>
      <c r="H36" s="181"/>
      <c r="I36" s="181"/>
      <c r="J36" s="181"/>
      <c r="K36" s="168"/>
      <c r="L36" s="383"/>
      <c r="M36" s="383"/>
      <c r="N36" s="383"/>
      <c r="O36" s="383"/>
      <c r="P36" s="181"/>
      <c r="Q36" s="181"/>
      <c r="R36" s="168"/>
      <c r="S36" s="383"/>
      <c r="T36" s="181"/>
      <c r="U36" s="168"/>
      <c r="V36" s="168"/>
      <c r="W36" s="168"/>
    </row>
    <row r="37" spans="1:23" ht="12" customHeight="1" thickBot="1">
      <c r="A37" s="126" t="s">
        <v>26</v>
      </c>
      <c r="B37" s="161"/>
      <c r="C37" s="386" t="s">
        <v>136</v>
      </c>
      <c r="D37" s="375">
        <f aca="true" t="shared" si="12" ref="D37:I37">SUM(D38:D42)</f>
        <v>163552339</v>
      </c>
      <c r="E37" s="375">
        <f t="shared" si="12"/>
        <v>169027754</v>
      </c>
      <c r="F37" s="375">
        <f t="shared" si="12"/>
        <v>169227610</v>
      </c>
      <c r="G37" s="375">
        <f t="shared" si="12"/>
        <v>169876874</v>
      </c>
      <c r="H37" s="375">
        <f t="shared" si="12"/>
        <v>165468786</v>
      </c>
      <c r="I37" s="375">
        <f t="shared" si="12"/>
        <v>0</v>
      </c>
      <c r="J37" s="316">
        <f>I37/H37</f>
        <v>0</v>
      </c>
      <c r="K37" s="369">
        <f aca="true" t="shared" si="13" ref="K37:Q37">SUM(K38:K42)</f>
        <v>0</v>
      </c>
      <c r="L37" s="375">
        <f t="shared" si="13"/>
        <v>163552339</v>
      </c>
      <c r="M37" s="375">
        <f t="shared" si="13"/>
        <v>169027754</v>
      </c>
      <c r="N37" s="375">
        <f>SUM(N38:N42)</f>
        <v>169227610</v>
      </c>
      <c r="O37" s="375">
        <f>SUM(O38:O42)</f>
        <v>169876874</v>
      </c>
      <c r="P37" s="375">
        <f>SUM(P38:P42)</f>
        <v>165468786</v>
      </c>
      <c r="Q37" s="375">
        <f t="shared" si="13"/>
        <v>0</v>
      </c>
      <c r="R37" s="316">
        <f>Q37/P37</f>
        <v>0</v>
      </c>
      <c r="S37" s="375"/>
      <c r="T37" s="174"/>
      <c r="U37" s="116"/>
      <c r="V37" s="116"/>
      <c r="W37" s="116"/>
    </row>
    <row r="38" spans="1:23" ht="12" customHeight="1">
      <c r="A38" s="162"/>
      <c r="B38" s="163" t="s">
        <v>110</v>
      </c>
      <c r="C38" s="387" t="s">
        <v>137</v>
      </c>
      <c r="D38" s="393">
        <v>88024843</v>
      </c>
      <c r="E38" s="393">
        <v>92535323</v>
      </c>
      <c r="F38" s="393">
        <v>92535323</v>
      </c>
      <c r="G38" s="393">
        <v>93055323</v>
      </c>
      <c r="H38" s="393">
        <v>92818734</v>
      </c>
      <c r="I38" s="182"/>
      <c r="J38" s="609"/>
      <c r="K38" s="633"/>
      <c r="L38" s="393">
        <v>88024843</v>
      </c>
      <c r="M38" s="393">
        <v>92535323</v>
      </c>
      <c r="N38" s="393">
        <v>92535323</v>
      </c>
      <c r="O38" s="393">
        <v>93055323</v>
      </c>
      <c r="P38" s="393">
        <v>92818734</v>
      </c>
      <c r="Q38" s="182"/>
      <c r="R38" s="609">
        <f>Q38/P38</f>
        <v>0</v>
      </c>
      <c r="S38" s="377"/>
      <c r="T38" s="175"/>
      <c r="U38" s="122"/>
      <c r="V38" s="122"/>
      <c r="W38" s="122"/>
    </row>
    <row r="39" spans="1:23" ht="12" customHeight="1">
      <c r="A39" s="164"/>
      <c r="B39" s="165" t="s">
        <v>111</v>
      </c>
      <c r="C39" s="388" t="s">
        <v>50</v>
      </c>
      <c r="D39" s="394">
        <v>16804240</v>
      </c>
      <c r="E39" s="394">
        <v>17769175</v>
      </c>
      <c r="F39" s="394">
        <v>17769175</v>
      </c>
      <c r="G39" s="394">
        <v>17860175</v>
      </c>
      <c r="H39" s="394">
        <v>18096764</v>
      </c>
      <c r="I39" s="183"/>
      <c r="J39" s="635"/>
      <c r="K39" s="401"/>
      <c r="L39" s="394">
        <v>16804240</v>
      </c>
      <c r="M39" s="394">
        <v>17769175</v>
      </c>
      <c r="N39" s="394">
        <v>17769175</v>
      </c>
      <c r="O39" s="394">
        <v>17860175</v>
      </c>
      <c r="P39" s="394">
        <v>18096764</v>
      </c>
      <c r="Q39" s="183"/>
      <c r="R39" s="635">
        <f>Q39/P39</f>
        <v>0</v>
      </c>
      <c r="S39" s="377"/>
      <c r="T39" s="175"/>
      <c r="U39" s="122"/>
      <c r="V39" s="122"/>
      <c r="W39" s="122"/>
    </row>
    <row r="40" spans="1:23" ht="12" customHeight="1">
      <c r="A40" s="164"/>
      <c r="B40" s="165" t="s">
        <v>112</v>
      </c>
      <c r="C40" s="388" t="s">
        <v>138</v>
      </c>
      <c r="D40" s="394">
        <v>58723256</v>
      </c>
      <c r="E40" s="394">
        <v>58723256</v>
      </c>
      <c r="F40" s="394">
        <v>58923112</v>
      </c>
      <c r="G40" s="394">
        <v>58961376</v>
      </c>
      <c r="H40" s="394">
        <v>54553288</v>
      </c>
      <c r="I40" s="183"/>
      <c r="J40" s="635"/>
      <c r="K40" s="401"/>
      <c r="L40" s="394">
        <v>58723256</v>
      </c>
      <c r="M40" s="394">
        <v>58723256</v>
      </c>
      <c r="N40" s="394">
        <v>58923112</v>
      </c>
      <c r="O40" s="394">
        <v>58961376</v>
      </c>
      <c r="P40" s="394">
        <v>54553288</v>
      </c>
      <c r="Q40" s="183"/>
      <c r="R40" s="635">
        <f>Q40/P40</f>
        <v>0</v>
      </c>
      <c r="S40" s="377"/>
      <c r="T40" s="175"/>
      <c r="U40" s="122"/>
      <c r="V40" s="122"/>
      <c r="W40" s="122"/>
    </row>
    <row r="41" spans="1:23" s="154" customFormat="1" ht="12" customHeight="1">
      <c r="A41" s="164"/>
      <c r="B41" s="165" t="s">
        <v>113</v>
      </c>
      <c r="C41" s="388" t="s">
        <v>80</v>
      </c>
      <c r="D41" s="394"/>
      <c r="E41" s="394"/>
      <c r="F41" s="394"/>
      <c r="G41" s="394"/>
      <c r="H41" s="394"/>
      <c r="I41" s="183"/>
      <c r="J41" s="183"/>
      <c r="K41" s="401"/>
      <c r="L41" s="394"/>
      <c r="M41" s="394"/>
      <c r="N41" s="394"/>
      <c r="O41" s="394"/>
      <c r="P41" s="394"/>
      <c r="Q41" s="183"/>
      <c r="R41" s="183"/>
      <c r="S41" s="377"/>
      <c r="T41" s="175"/>
      <c r="U41" s="122"/>
      <c r="V41" s="122"/>
      <c r="W41" s="122"/>
    </row>
    <row r="42" spans="1:23" ht="12" customHeight="1" thickBot="1">
      <c r="A42" s="164"/>
      <c r="B42" s="165" t="s">
        <v>49</v>
      </c>
      <c r="C42" s="388" t="s">
        <v>82</v>
      </c>
      <c r="D42" s="394"/>
      <c r="E42" s="394"/>
      <c r="F42" s="394"/>
      <c r="G42" s="394"/>
      <c r="H42" s="394"/>
      <c r="I42" s="183"/>
      <c r="J42" s="635"/>
      <c r="K42" s="401"/>
      <c r="L42" s="394"/>
      <c r="M42" s="394"/>
      <c r="N42" s="394"/>
      <c r="O42" s="394"/>
      <c r="P42" s="394"/>
      <c r="Q42" s="183"/>
      <c r="R42" s="635" t="e">
        <f>P42/O42</f>
        <v>#DIV/0!</v>
      </c>
      <c r="S42" s="394"/>
      <c r="T42" s="183"/>
      <c r="U42" s="166"/>
      <c r="V42" s="166"/>
      <c r="W42" s="166"/>
    </row>
    <row r="43" spans="1:23" ht="12" customHeight="1" thickBot="1">
      <c r="A43" s="126" t="s">
        <v>27</v>
      </c>
      <c r="B43" s="161"/>
      <c r="C43" s="386" t="s">
        <v>139</v>
      </c>
      <c r="D43" s="375">
        <f aca="true" t="shared" si="14" ref="D43:I43">SUM(D44:D48)</f>
        <v>2055216</v>
      </c>
      <c r="E43" s="375">
        <f t="shared" si="14"/>
        <v>2055216</v>
      </c>
      <c r="F43" s="375">
        <f t="shared" si="14"/>
        <v>2092716</v>
      </c>
      <c r="G43" s="375">
        <f t="shared" si="14"/>
        <v>2092716</v>
      </c>
      <c r="H43" s="375">
        <f t="shared" si="14"/>
        <v>2131496</v>
      </c>
      <c r="I43" s="375">
        <f t="shared" si="14"/>
        <v>0</v>
      </c>
      <c r="J43" s="316">
        <f>I43/H43</f>
        <v>0</v>
      </c>
      <c r="K43" s="369">
        <f aca="true" t="shared" si="15" ref="K43:Q43">SUM(K44:K48)</f>
        <v>0</v>
      </c>
      <c r="L43" s="375">
        <f t="shared" si="15"/>
        <v>2055216</v>
      </c>
      <c r="M43" s="375">
        <f t="shared" si="15"/>
        <v>2055216</v>
      </c>
      <c r="N43" s="375">
        <f>SUM(N44:N48)</f>
        <v>2092716</v>
      </c>
      <c r="O43" s="375">
        <f>SUM(O44:O48)</f>
        <v>2092716</v>
      </c>
      <c r="P43" s="375">
        <f>SUM(P44:P48)</f>
        <v>2131496</v>
      </c>
      <c r="Q43" s="375">
        <f t="shared" si="15"/>
        <v>0</v>
      </c>
      <c r="R43" s="316">
        <f>Q43/P43</f>
        <v>0</v>
      </c>
      <c r="S43" s="375"/>
      <c r="T43" s="174"/>
      <c r="U43" s="116"/>
      <c r="V43" s="116"/>
      <c r="W43" s="116"/>
    </row>
    <row r="44" spans="1:23" ht="12" customHeight="1">
      <c r="A44" s="162"/>
      <c r="B44" s="163" t="s">
        <v>140</v>
      </c>
      <c r="C44" s="387" t="s">
        <v>92</v>
      </c>
      <c r="D44" s="393">
        <v>2055216</v>
      </c>
      <c r="E44" s="393">
        <v>2055216</v>
      </c>
      <c r="F44" s="393">
        <v>2092716</v>
      </c>
      <c r="G44" s="393">
        <v>2092716</v>
      </c>
      <c r="H44" s="393">
        <v>2131496</v>
      </c>
      <c r="I44" s="182"/>
      <c r="J44" s="609"/>
      <c r="K44" s="633"/>
      <c r="L44" s="393">
        <v>2055216</v>
      </c>
      <c r="M44" s="393">
        <v>2055216</v>
      </c>
      <c r="N44" s="393">
        <v>2092716</v>
      </c>
      <c r="O44" s="393">
        <v>2092716</v>
      </c>
      <c r="P44" s="393">
        <v>2131496</v>
      </c>
      <c r="Q44" s="182"/>
      <c r="R44" s="609">
        <f>Q44/P44</f>
        <v>0</v>
      </c>
      <c r="S44" s="377"/>
      <c r="T44" s="175"/>
      <c r="U44" s="122"/>
      <c r="V44" s="122"/>
      <c r="W44" s="122"/>
    </row>
    <row r="45" spans="1:23" ht="12" customHeight="1">
      <c r="A45" s="162"/>
      <c r="B45" s="163"/>
      <c r="C45" s="387" t="s">
        <v>344</v>
      </c>
      <c r="D45" s="393"/>
      <c r="E45" s="393"/>
      <c r="F45" s="393"/>
      <c r="G45" s="393"/>
      <c r="H45" s="393"/>
      <c r="I45" s="182"/>
      <c r="J45" s="182"/>
      <c r="K45" s="633"/>
      <c r="L45" s="393"/>
      <c r="M45" s="393"/>
      <c r="N45" s="393"/>
      <c r="O45" s="393"/>
      <c r="P45" s="393"/>
      <c r="Q45" s="182"/>
      <c r="R45" s="182"/>
      <c r="S45" s="377"/>
      <c r="T45" s="175"/>
      <c r="U45" s="122"/>
      <c r="V45" s="122"/>
      <c r="W45" s="122"/>
    </row>
    <row r="46" spans="1:23" ht="12" customHeight="1">
      <c r="A46" s="164"/>
      <c r="B46" s="165" t="s">
        <v>141</v>
      </c>
      <c r="C46" s="388" t="s">
        <v>93</v>
      </c>
      <c r="D46" s="394"/>
      <c r="E46" s="394"/>
      <c r="F46" s="394"/>
      <c r="G46" s="394"/>
      <c r="H46" s="394"/>
      <c r="I46" s="183"/>
      <c r="J46" s="183"/>
      <c r="K46" s="401"/>
      <c r="L46" s="394"/>
      <c r="M46" s="394"/>
      <c r="N46" s="394"/>
      <c r="O46" s="394"/>
      <c r="P46" s="394"/>
      <c r="Q46" s="183"/>
      <c r="R46" s="183"/>
      <c r="S46" s="394"/>
      <c r="T46" s="183"/>
      <c r="U46" s="166"/>
      <c r="V46" s="166"/>
      <c r="W46" s="166"/>
    </row>
    <row r="47" spans="1:23" ht="15" customHeight="1">
      <c r="A47" s="164"/>
      <c r="B47" s="165" t="s">
        <v>40</v>
      </c>
      <c r="C47" s="388" t="s">
        <v>143</v>
      </c>
      <c r="D47" s="394"/>
      <c r="E47" s="394"/>
      <c r="F47" s="394"/>
      <c r="G47" s="394"/>
      <c r="H47" s="394"/>
      <c r="I47" s="183"/>
      <c r="J47" s="183"/>
      <c r="K47" s="401"/>
      <c r="L47" s="394"/>
      <c r="M47" s="394"/>
      <c r="N47" s="394"/>
      <c r="O47" s="394"/>
      <c r="P47" s="394"/>
      <c r="Q47" s="183"/>
      <c r="R47" s="183"/>
      <c r="S47" s="394"/>
      <c r="T47" s="183"/>
      <c r="U47" s="166"/>
      <c r="V47" s="166"/>
      <c r="W47" s="166"/>
    </row>
    <row r="48" spans="1:23" ht="13.5" thickBot="1">
      <c r="A48" s="164"/>
      <c r="B48" s="165" t="s">
        <v>270</v>
      </c>
      <c r="C48" s="388" t="s">
        <v>145</v>
      </c>
      <c r="D48" s="394"/>
      <c r="E48" s="394"/>
      <c r="F48" s="394"/>
      <c r="G48" s="394"/>
      <c r="H48" s="394"/>
      <c r="I48" s="183"/>
      <c r="J48" s="183"/>
      <c r="K48" s="401"/>
      <c r="L48" s="394"/>
      <c r="M48" s="394"/>
      <c r="N48" s="394"/>
      <c r="O48" s="394"/>
      <c r="P48" s="394"/>
      <c r="Q48" s="183"/>
      <c r="R48" s="183"/>
      <c r="S48" s="394"/>
      <c r="T48" s="183"/>
      <c r="U48" s="166"/>
      <c r="V48" s="166"/>
      <c r="W48" s="166"/>
    </row>
    <row r="49" spans="1:23" ht="15" customHeight="1" thickBot="1">
      <c r="A49" s="126" t="s">
        <v>9</v>
      </c>
      <c r="B49" s="161"/>
      <c r="C49" s="389" t="s">
        <v>146</v>
      </c>
      <c r="D49" s="380"/>
      <c r="E49" s="380"/>
      <c r="F49" s="380"/>
      <c r="G49" s="380"/>
      <c r="H49" s="380"/>
      <c r="I49" s="178"/>
      <c r="J49" s="178"/>
      <c r="K49" s="370"/>
      <c r="L49" s="380"/>
      <c r="M49" s="380"/>
      <c r="N49" s="380"/>
      <c r="O49" s="380"/>
      <c r="P49" s="380"/>
      <c r="Q49" s="178"/>
      <c r="R49" s="178"/>
      <c r="S49" s="380"/>
      <c r="T49" s="178"/>
      <c r="U49" s="136"/>
      <c r="V49" s="136"/>
      <c r="W49" s="136"/>
    </row>
    <row r="50" spans="1:23" ht="14.25" customHeight="1" thickBot="1">
      <c r="A50" s="145" t="s">
        <v>10</v>
      </c>
      <c r="B50" s="262"/>
      <c r="C50" s="390" t="s">
        <v>147</v>
      </c>
      <c r="D50" s="380"/>
      <c r="E50" s="380"/>
      <c r="F50" s="380"/>
      <c r="G50" s="380"/>
      <c r="H50" s="380"/>
      <c r="I50" s="178"/>
      <c r="J50" s="178"/>
      <c r="K50" s="370"/>
      <c r="L50" s="380"/>
      <c r="M50" s="380"/>
      <c r="N50" s="380"/>
      <c r="O50" s="380"/>
      <c r="P50" s="380"/>
      <c r="Q50" s="178"/>
      <c r="R50" s="178"/>
      <c r="S50" s="380"/>
      <c r="T50" s="178"/>
      <c r="U50" s="136"/>
      <c r="V50" s="136"/>
      <c r="W50" s="136"/>
    </row>
    <row r="51" spans="1:23" ht="13.5" thickBot="1">
      <c r="A51" s="126">
        <v>5</v>
      </c>
      <c r="B51" s="167"/>
      <c r="C51" s="391" t="s">
        <v>274</v>
      </c>
      <c r="D51" s="383">
        <f aca="true" t="shared" si="16" ref="D51:I51">D37+D43+D49+D50</f>
        <v>165607555</v>
      </c>
      <c r="E51" s="383">
        <f t="shared" si="16"/>
        <v>171082970</v>
      </c>
      <c r="F51" s="383">
        <f t="shared" si="16"/>
        <v>171320326</v>
      </c>
      <c r="G51" s="383">
        <f t="shared" si="16"/>
        <v>171969590</v>
      </c>
      <c r="H51" s="383">
        <f t="shared" si="16"/>
        <v>167600282</v>
      </c>
      <c r="I51" s="383">
        <f t="shared" si="16"/>
        <v>0</v>
      </c>
      <c r="J51" s="316">
        <f>I51/H51</f>
        <v>0</v>
      </c>
      <c r="K51" s="150">
        <f aca="true" t="shared" si="17" ref="K51:Q51">K37+K43+K49+K50</f>
        <v>0</v>
      </c>
      <c r="L51" s="383">
        <f t="shared" si="17"/>
        <v>165607555</v>
      </c>
      <c r="M51" s="383">
        <f t="shared" si="17"/>
        <v>171082970</v>
      </c>
      <c r="N51" s="383">
        <f>N37+N43+N49+N50</f>
        <v>171320326</v>
      </c>
      <c r="O51" s="383">
        <f>O37+O43+O49+O50</f>
        <v>171969590</v>
      </c>
      <c r="P51" s="383">
        <f>P37+P43+P49+P50</f>
        <v>167600282</v>
      </c>
      <c r="Q51" s="383">
        <f t="shared" si="17"/>
        <v>0</v>
      </c>
      <c r="R51" s="316">
        <f>Q51/P51</f>
        <v>0</v>
      </c>
      <c r="S51" s="383"/>
      <c r="T51" s="181"/>
      <c r="U51" s="168"/>
      <c r="V51" s="168"/>
      <c r="W51" s="168"/>
    </row>
    <row r="52" spans="4:23" ht="13.5" thickBot="1">
      <c r="D52" s="422"/>
      <c r="E52" s="422"/>
      <c r="F52" s="422"/>
      <c r="G52" s="422"/>
      <c r="H52" s="422"/>
      <c r="I52" s="423"/>
      <c r="J52" s="423"/>
      <c r="K52" s="641"/>
      <c r="L52" s="422"/>
      <c r="M52" s="422"/>
      <c r="N52" s="422"/>
      <c r="O52" s="422"/>
      <c r="P52" s="422"/>
      <c r="Q52" s="423"/>
      <c r="R52" s="423"/>
      <c r="S52" s="422"/>
      <c r="T52" s="423"/>
      <c r="U52" s="424"/>
      <c r="V52" s="424"/>
      <c r="W52" s="424"/>
    </row>
    <row r="53" spans="1:23" ht="13.5" thickBot="1">
      <c r="A53" s="170" t="s">
        <v>149</v>
      </c>
      <c r="B53" s="171"/>
      <c r="C53" s="392"/>
      <c r="D53" s="990">
        <v>25</v>
      </c>
      <c r="E53" s="990">
        <v>27</v>
      </c>
      <c r="F53" s="990">
        <v>27</v>
      </c>
      <c r="G53" s="990">
        <v>27</v>
      </c>
      <c r="H53" s="990">
        <v>27</v>
      </c>
      <c r="I53" s="991">
        <v>22</v>
      </c>
      <c r="J53" s="992">
        <f>I53/H53</f>
        <v>0.8148148148148148</v>
      </c>
      <c r="K53" s="993"/>
      <c r="L53" s="990">
        <v>25</v>
      </c>
      <c r="M53" s="990">
        <v>27</v>
      </c>
      <c r="N53" s="990">
        <v>27</v>
      </c>
      <c r="O53" s="990">
        <v>27</v>
      </c>
      <c r="P53" s="990">
        <v>27</v>
      </c>
      <c r="Q53" s="186">
        <v>22</v>
      </c>
      <c r="R53" s="316">
        <f>Q53/P53</f>
        <v>0.8148148148148148</v>
      </c>
      <c r="S53" s="406"/>
      <c r="T53" s="186"/>
      <c r="U53" s="395"/>
      <c r="V53" s="395"/>
      <c r="W53" s="395"/>
    </row>
    <row r="54" spans="1:23" ht="13.5" thickBot="1">
      <c r="A54" s="170" t="s">
        <v>150</v>
      </c>
      <c r="B54" s="171"/>
      <c r="C54" s="392"/>
      <c r="D54" s="406">
        <v>0</v>
      </c>
      <c r="E54" s="406">
        <v>0</v>
      </c>
      <c r="F54" s="406">
        <v>0</v>
      </c>
      <c r="G54" s="406">
        <v>0</v>
      </c>
      <c r="H54" s="406">
        <v>0</v>
      </c>
      <c r="I54" s="186">
        <v>0</v>
      </c>
      <c r="J54" s="316"/>
      <c r="K54" s="185"/>
      <c r="L54" s="406">
        <v>0</v>
      </c>
      <c r="M54" s="406">
        <v>0</v>
      </c>
      <c r="N54" s="406">
        <v>0</v>
      </c>
      <c r="O54" s="406">
        <v>0</v>
      </c>
      <c r="P54" s="406">
        <v>0</v>
      </c>
      <c r="Q54" s="186">
        <v>0</v>
      </c>
      <c r="R54" s="316"/>
      <c r="S54" s="406"/>
      <c r="T54" s="186"/>
      <c r="U54" s="395"/>
      <c r="V54" s="395"/>
      <c r="W54" s="395"/>
    </row>
    <row r="55" spans="6:11" ht="12.75">
      <c r="F55" s="266"/>
      <c r="G55" s="266"/>
      <c r="H55" s="266"/>
      <c r="I55" s="266"/>
      <c r="J55" s="266"/>
      <c r="K55" s="266"/>
    </row>
    <row r="56" spans="1:11" ht="12.75">
      <c r="A56" s="1192" t="s">
        <v>151</v>
      </c>
      <c r="B56" s="1192"/>
      <c r="C56" s="1192"/>
      <c r="D56" s="1192"/>
      <c r="E56" s="250"/>
      <c r="F56" s="600"/>
      <c r="G56" s="600"/>
      <c r="H56" s="600"/>
      <c r="I56" s="600"/>
      <c r="J56" s="250"/>
      <c r="K56" s="250"/>
    </row>
    <row r="57" spans="1:3" ht="12.75">
      <c r="A57" s="1192"/>
      <c r="B57" s="1192"/>
      <c r="C57" s="1192"/>
    </row>
    <row r="58" spans="4:11" ht="12.75">
      <c r="D58" s="266">
        <v>0</v>
      </c>
      <c r="E58" s="266"/>
      <c r="F58" s="266"/>
      <c r="G58" s="266"/>
      <c r="H58" s="266"/>
      <c r="I58" s="266"/>
      <c r="J58" s="266"/>
      <c r="K58" s="266"/>
    </row>
  </sheetData>
  <sheetProtection/>
  <mergeCells count="8">
    <mergeCell ref="L1:V1"/>
    <mergeCell ref="S5:W5"/>
    <mergeCell ref="A3:S3"/>
    <mergeCell ref="A57:C57"/>
    <mergeCell ref="A56:D56"/>
    <mergeCell ref="A6:B6"/>
    <mergeCell ref="D5:K5"/>
    <mergeCell ref="L5:R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8"/>
  <sheetViews>
    <sheetView zoomScalePageLayoutView="0" workbookViewId="0" topLeftCell="C7">
      <selection activeCell="K10" sqref="K10"/>
    </sheetView>
  </sheetViews>
  <sheetFormatPr defaultColWidth="9.140625" defaultRowHeight="12.75"/>
  <cols>
    <col min="1" max="1" width="48.28125" style="20" customWidth="1"/>
    <col min="2" max="3" width="14.8515625" style="13" customWidth="1"/>
    <col min="4" max="4" width="20.57421875" style="13" customWidth="1"/>
    <col min="5" max="7" width="14.8515625" style="13" customWidth="1"/>
    <col min="8" max="8" width="20.421875" style="13" customWidth="1"/>
    <col min="9" max="9" width="14.8515625" style="13" customWidth="1"/>
    <col min="10" max="10" width="11.8515625" style="13" customWidth="1"/>
    <col min="11" max="11" width="14.8515625" style="13" customWidth="1"/>
    <col min="12" max="12" width="20.7109375" style="13" customWidth="1"/>
    <col min="13" max="13" width="11.57421875" style="13" customWidth="1"/>
    <col min="14" max="16384" width="9.140625" style="13" customWidth="1"/>
  </cols>
  <sheetData>
    <row r="2" spans="4:9" ht="12.75">
      <c r="D2" s="1212" t="s">
        <v>196</v>
      </c>
      <c r="E2" s="1212"/>
      <c r="F2" s="307"/>
      <c r="G2" s="307"/>
      <c r="H2" s="307"/>
      <c r="I2" s="307"/>
    </row>
    <row r="4" spans="1:9" ht="19.5">
      <c r="A4" s="1213" t="s">
        <v>637</v>
      </c>
      <c r="B4" s="1213"/>
      <c r="C4" s="1213"/>
      <c r="D4" s="1213"/>
      <c r="E4" s="1213"/>
      <c r="F4" s="308"/>
      <c r="G4" s="308"/>
      <c r="H4" s="308"/>
      <c r="I4" s="308"/>
    </row>
    <row r="5" spans="1:9" ht="19.5">
      <c r="A5" s="308"/>
      <c r="B5" s="308"/>
      <c r="C5" s="308"/>
      <c r="D5" s="308"/>
      <c r="E5" s="308"/>
      <c r="F5" s="308"/>
      <c r="G5" s="308"/>
      <c r="H5" s="308"/>
      <c r="I5" s="308"/>
    </row>
    <row r="6" spans="2:9" ht="20.25" customHeight="1" thickBot="1">
      <c r="B6" s="1214" t="s">
        <v>4</v>
      </c>
      <c r="C6" s="1214"/>
      <c r="D6" s="1214"/>
      <c r="E6" s="1214"/>
      <c r="F6" s="1214"/>
      <c r="G6" s="1214"/>
      <c r="H6" s="1214"/>
      <c r="I6" s="1214"/>
    </row>
    <row r="7" spans="1:13" ht="36.75" customHeight="1">
      <c r="A7" s="1210" t="s">
        <v>3</v>
      </c>
      <c r="B7" s="1207" t="s">
        <v>638</v>
      </c>
      <c r="C7" s="1208"/>
      <c r="D7" s="1208"/>
      <c r="E7" s="1209"/>
      <c r="F7" s="1215" t="s">
        <v>684</v>
      </c>
      <c r="G7" s="1208"/>
      <c r="H7" s="1208"/>
      <c r="I7" s="1209"/>
      <c r="J7" s="1207" t="s">
        <v>639</v>
      </c>
      <c r="K7" s="1208"/>
      <c r="L7" s="1208"/>
      <c r="M7" s="1209"/>
    </row>
    <row r="8" spans="1:13" ht="41.25" customHeight="1" thickBot="1">
      <c r="A8" s="1211"/>
      <c r="B8" s="15" t="s">
        <v>28</v>
      </c>
      <c r="C8" s="15" t="s">
        <v>203</v>
      </c>
      <c r="D8" s="15" t="s">
        <v>204</v>
      </c>
      <c r="E8" s="16" t="s">
        <v>1</v>
      </c>
      <c r="F8" s="449" t="s">
        <v>28</v>
      </c>
      <c r="G8" s="15" t="s">
        <v>203</v>
      </c>
      <c r="H8" s="15" t="s">
        <v>204</v>
      </c>
      <c r="I8" s="16" t="s">
        <v>1</v>
      </c>
      <c r="J8" s="15" t="s">
        <v>28</v>
      </c>
      <c r="K8" s="15" t="s">
        <v>203</v>
      </c>
      <c r="L8" s="15" t="s">
        <v>204</v>
      </c>
      <c r="M8" s="16" t="s">
        <v>1</v>
      </c>
    </row>
    <row r="9" spans="1:13" ht="30" customHeight="1">
      <c r="A9" s="14" t="s">
        <v>212</v>
      </c>
      <c r="B9" s="93">
        <v>17</v>
      </c>
      <c r="C9" s="93">
        <v>0</v>
      </c>
      <c r="D9" s="94">
        <v>1</v>
      </c>
      <c r="E9" s="244">
        <f>SUM(B9:C9)</f>
        <v>17</v>
      </c>
      <c r="F9" s="93">
        <v>18</v>
      </c>
      <c r="G9" s="93">
        <v>0</v>
      </c>
      <c r="H9" s="94">
        <v>1</v>
      </c>
      <c r="I9" s="244">
        <v>18</v>
      </c>
      <c r="J9" s="93">
        <v>17</v>
      </c>
      <c r="K9" s="93">
        <v>0</v>
      </c>
      <c r="L9" s="94">
        <v>1</v>
      </c>
      <c r="M9" s="244">
        <f>SUM(J9:K9)</f>
        <v>17</v>
      </c>
    </row>
    <row r="10" spans="1:13" ht="30" customHeight="1">
      <c r="A10" s="14" t="s">
        <v>213</v>
      </c>
      <c r="B10" s="93">
        <f>2+2+1</f>
        <v>5</v>
      </c>
      <c r="C10" s="93">
        <f>0.5+1.5+1</f>
        <v>3</v>
      </c>
      <c r="D10" s="93">
        <v>0</v>
      </c>
      <c r="E10" s="244">
        <f>SUM(B10:C10)</f>
        <v>8</v>
      </c>
      <c r="F10" s="93">
        <f>2+2+1</f>
        <v>5</v>
      </c>
      <c r="G10" s="93">
        <f>0.5+1.5+1+0.56</f>
        <v>3.56</v>
      </c>
      <c r="H10" s="93">
        <v>0</v>
      </c>
      <c r="I10" s="244">
        <v>9</v>
      </c>
      <c r="J10" s="93">
        <f>2+2+1</f>
        <v>5</v>
      </c>
      <c r="K10" s="93">
        <f>0.5+1.5+1+0.56</f>
        <v>3.56</v>
      </c>
      <c r="L10" s="93">
        <v>0</v>
      </c>
      <c r="M10" s="244">
        <v>9</v>
      </c>
    </row>
    <row r="11" spans="1:13" ht="30" customHeight="1" thickBot="1">
      <c r="A11" s="92" t="s">
        <v>214</v>
      </c>
      <c r="B11" s="95">
        <v>17</v>
      </c>
      <c r="C11" s="95">
        <v>8</v>
      </c>
      <c r="D11" s="95">
        <v>3</v>
      </c>
      <c r="E11" s="244">
        <f>SUM(B11:C11)</f>
        <v>25</v>
      </c>
      <c r="F11" s="95">
        <f>17+1.67</f>
        <v>18.67</v>
      </c>
      <c r="G11" s="95">
        <v>8</v>
      </c>
      <c r="H11" s="95">
        <v>3</v>
      </c>
      <c r="I11" s="244">
        <v>27</v>
      </c>
      <c r="J11" s="95">
        <v>18</v>
      </c>
      <c r="K11" s="95">
        <v>8</v>
      </c>
      <c r="L11" s="95">
        <v>3</v>
      </c>
      <c r="M11" s="244">
        <v>26</v>
      </c>
    </row>
    <row r="12" spans="1:13" ht="54.75" customHeight="1" thickBot="1">
      <c r="A12" s="91" t="s">
        <v>24</v>
      </c>
      <c r="B12" s="205">
        <f aca="true" t="shared" si="0" ref="B12:M12">SUM(B9:B11)</f>
        <v>39</v>
      </c>
      <c r="C12" s="205">
        <f t="shared" si="0"/>
        <v>11</v>
      </c>
      <c r="D12" s="205">
        <f t="shared" si="0"/>
        <v>4</v>
      </c>
      <c r="E12" s="245">
        <f t="shared" si="0"/>
        <v>50</v>
      </c>
      <c r="F12" s="205">
        <f t="shared" si="0"/>
        <v>41.67</v>
      </c>
      <c r="G12" s="205">
        <f t="shared" si="0"/>
        <v>11.56</v>
      </c>
      <c r="H12" s="205">
        <f t="shared" si="0"/>
        <v>4</v>
      </c>
      <c r="I12" s="245">
        <f t="shared" si="0"/>
        <v>54</v>
      </c>
      <c r="J12" s="205">
        <f t="shared" si="0"/>
        <v>40</v>
      </c>
      <c r="K12" s="205">
        <f t="shared" si="0"/>
        <v>11.56</v>
      </c>
      <c r="L12" s="205">
        <f t="shared" si="0"/>
        <v>4</v>
      </c>
      <c r="M12" s="245">
        <f t="shared" si="0"/>
        <v>52</v>
      </c>
    </row>
    <row r="13" ht="13.5" thickBot="1"/>
    <row r="14" spans="1:13" ht="30.75" customHeight="1" thickBot="1">
      <c r="A14" s="1201" t="s">
        <v>51</v>
      </c>
      <c r="B14" s="1202"/>
      <c r="C14" s="1202"/>
      <c r="D14" s="1203"/>
      <c r="E14" s="246">
        <v>8</v>
      </c>
      <c r="F14" s="1204"/>
      <c r="G14" s="1205"/>
      <c r="H14" s="1206"/>
      <c r="I14" s="246">
        <v>8</v>
      </c>
      <c r="J14" s="1204"/>
      <c r="K14" s="1205"/>
      <c r="L14" s="1206"/>
      <c r="M14" s="246">
        <v>8</v>
      </c>
    </row>
    <row r="16" ht="12.75">
      <c r="A16" s="20" t="s">
        <v>105</v>
      </c>
    </row>
    <row r="18" spans="5:9" ht="12.75">
      <c r="E18" s="243"/>
      <c r="F18" s="243"/>
      <c r="G18" s="243"/>
      <c r="H18" s="243"/>
      <c r="I18" s="243"/>
    </row>
  </sheetData>
  <sheetProtection/>
  <mergeCells count="10">
    <mergeCell ref="A14:D14"/>
    <mergeCell ref="F14:H14"/>
    <mergeCell ref="J7:M7"/>
    <mergeCell ref="J14:L14"/>
    <mergeCell ref="A7:A8"/>
    <mergeCell ref="D2:E2"/>
    <mergeCell ref="B7:E7"/>
    <mergeCell ref="A4:E4"/>
    <mergeCell ref="B6:I6"/>
    <mergeCell ref="F7:I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zoomScale="70" zoomScaleNormal="70" workbookViewId="0" topLeftCell="A8">
      <selection activeCell="H15" sqref="H1:M16384"/>
    </sheetView>
  </sheetViews>
  <sheetFormatPr defaultColWidth="9.140625" defaultRowHeight="12.75"/>
  <cols>
    <col min="1" max="1" width="9.140625" style="1014" customWidth="1"/>
    <col min="2" max="2" width="54.28125" style="1014" customWidth="1"/>
    <col min="3" max="3" width="5.57421875" style="1062" customWidth="1"/>
    <col min="4" max="4" width="17.421875" style="1057" customWidth="1"/>
    <col min="5" max="6" width="18.57421875" style="1057" customWidth="1"/>
    <col min="7" max="8" width="15.7109375" style="1057" customWidth="1"/>
    <col min="9" max="10" width="14.140625" style="1057" hidden="1" customWidth="1"/>
    <col min="11" max="12" width="20.8515625" style="1057" hidden="1" customWidth="1"/>
    <col min="13" max="13" width="20.28125" style="1014" customWidth="1"/>
    <col min="14" max="17" width="15.28125" style="1014" customWidth="1"/>
    <col min="18" max="19" width="15.28125" style="1014" hidden="1" customWidth="1"/>
    <col min="20" max="20" width="18.28125" style="1014" customWidth="1"/>
    <col min="21" max="21" width="13.28125" style="1014" customWidth="1"/>
    <col min="22" max="22" width="14.7109375" style="1014" customWidth="1"/>
    <col min="23" max="23" width="17.421875" style="1014" customWidth="1"/>
    <col min="24" max="24" width="14.8515625" style="1014" customWidth="1"/>
    <col min="25" max="25" width="17.00390625" style="1014" hidden="1" customWidth="1"/>
    <col min="26" max="26" width="3.8515625" style="1014" hidden="1" customWidth="1"/>
    <col min="27" max="27" width="17.140625" style="1014" customWidth="1"/>
    <col min="28" max="16384" width="9.140625" style="1014" customWidth="1"/>
  </cols>
  <sheetData>
    <row r="1" spans="1:21" ht="15.75">
      <c r="A1" s="1224" t="s">
        <v>58</v>
      </c>
      <c r="B1" s="1224"/>
      <c r="C1" s="1224"/>
      <c r="D1" s="1224"/>
      <c r="E1" s="1224"/>
      <c r="F1" s="1224"/>
      <c r="G1" s="1224"/>
      <c r="H1" s="1224"/>
      <c r="I1" s="1224"/>
      <c r="J1" s="1224"/>
      <c r="K1" s="1224"/>
      <c r="L1" s="1224"/>
      <c r="M1" s="1224"/>
      <c r="N1" s="1224"/>
      <c r="O1" s="1224"/>
      <c r="P1" s="1224"/>
      <c r="Q1" s="1224"/>
      <c r="R1" s="1224"/>
      <c r="S1" s="1224"/>
      <c r="T1" s="1224"/>
      <c r="U1" s="1013"/>
    </row>
    <row r="2" spans="1:21" ht="16.5" thickBot="1">
      <c r="A2" s="1015"/>
      <c r="B2" s="1013"/>
      <c r="C2" s="1013"/>
      <c r="D2" s="1016"/>
      <c r="E2" s="1016"/>
      <c r="F2" s="1016"/>
      <c r="G2" s="1016"/>
      <c r="H2" s="1017"/>
      <c r="I2" s="1016"/>
      <c r="J2" s="1016"/>
      <c r="K2" s="1016"/>
      <c r="L2" s="1016"/>
      <c r="M2" s="1013"/>
      <c r="N2" s="1013"/>
      <c r="O2" s="1013"/>
      <c r="P2" s="1013"/>
      <c r="Q2" s="1013"/>
      <c r="R2" s="1013"/>
      <c r="S2" s="1013"/>
      <c r="T2" s="1013" t="s">
        <v>446</v>
      </c>
      <c r="U2" s="1013"/>
    </row>
    <row r="3" spans="1:26" s="1022" customFormat="1" ht="31.5" customHeight="1" thickBot="1">
      <c r="A3" s="1018" t="s">
        <v>5</v>
      </c>
      <c r="B3" s="1019" t="s">
        <v>34</v>
      </c>
      <c r="C3" s="1020" t="s">
        <v>265</v>
      </c>
      <c r="D3" s="1216" t="s">
        <v>4</v>
      </c>
      <c r="E3" s="1217"/>
      <c r="F3" s="1217"/>
      <c r="G3" s="1217"/>
      <c r="H3" s="1217"/>
      <c r="I3" s="1217"/>
      <c r="J3" s="1217"/>
      <c r="K3" s="1218"/>
      <c r="L3" s="1021"/>
      <c r="M3" s="1219" t="s">
        <v>266</v>
      </c>
      <c r="N3" s="1220"/>
      <c r="O3" s="1220"/>
      <c r="P3" s="1220"/>
      <c r="Q3" s="1220"/>
      <c r="R3" s="1220"/>
      <c r="S3" s="1221"/>
      <c r="T3" s="1219" t="s">
        <v>25</v>
      </c>
      <c r="U3" s="1220"/>
      <c r="V3" s="1220"/>
      <c r="W3" s="1220"/>
      <c r="X3" s="1220"/>
      <c r="Y3" s="1220"/>
      <c r="Z3" s="1221"/>
    </row>
    <row r="4" spans="1:26" s="1022" customFormat="1" ht="31.5" customHeight="1">
      <c r="A4" s="1023"/>
      <c r="B4" s="1024"/>
      <c r="C4" s="1025"/>
      <c r="D4" s="1026" t="s">
        <v>64</v>
      </c>
      <c r="E4" s="1027" t="s">
        <v>226</v>
      </c>
      <c r="F4" s="1027" t="s">
        <v>229</v>
      </c>
      <c r="G4" s="1028" t="s">
        <v>231</v>
      </c>
      <c r="H4" s="1029" t="s">
        <v>243</v>
      </c>
      <c r="I4" s="1028" t="s">
        <v>613</v>
      </c>
      <c r="J4" s="1028" t="s">
        <v>614</v>
      </c>
      <c r="K4" s="1030" t="s">
        <v>234</v>
      </c>
      <c r="L4" s="1031"/>
      <c r="M4" s="1026" t="s">
        <v>64</v>
      </c>
      <c r="N4" s="1027" t="s">
        <v>226</v>
      </c>
      <c r="O4" s="1027" t="s">
        <v>229</v>
      </c>
      <c r="P4" s="1028" t="s">
        <v>231</v>
      </c>
      <c r="Q4" s="1028" t="s">
        <v>243</v>
      </c>
      <c r="R4" s="1028" t="s">
        <v>248</v>
      </c>
      <c r="S4" s="1030" t="s">
        <v>235</v>
      </c>
      <c r="T4" s="1026" t="s">
        <v>64</v>
      </c>
      <c r="U4" s="1027" t="s">
        <v>226</v>
      </c>
      <c r="V4" s="1027" t="s">
        <v>229</v>
      </c>
      <c r="W4" s="1028" t="s">
        <v>231</v>
      </c>
      <c r="X4" s="1028" t="s">
        <v>243</v>
      </c>
      <c r="Y4" s="1028" t="s">
        <v>248</v>
      </c>
      <c r="Z4" s="1030" t="s">
        <v>235</v>
      </c>
    </row>
    <row r="5" spans="1:26" ht="29.25" customHeight="1">
      <c r="A5" s="1032">
        <v>1</v>
      </c>
      <c r="B5" s="1033" t="s">
        <v>654</v>
      </c>
      <c r="C5" s="1034" t="s">
        <v>207</v>
      </c>
      <c r="D5" s="1035">
        <v>67945</v>
      </c>
      <c r="E5" s="1035">
        <v>67945</v>
      </c>
      <c r="F5" s="1035">
        <v>67945</v>
      </c>
      <c r="G5" s="1035">
        <v>67945</v>
      </c>
      <c r="H5" s="1035">
        <v>67945</v>
      </c>
      <c r="I5" s="1035">
        <v>53500</v>
      </c>
      <c r="J5" s="1012">
        <v>14445</v>
      </c>
      <c r="K5" s="1036">
        <f>+I5+J5</f>
        <v>67945</v>
      </c>
      <c r="L5" s="1036" t="str">
        <f>IF(K5&gt;H5,"módosítani"," ")</f>
        <v> </v>
      </c>
      <c r="M5" s="1035">
        <v>67945</v>
      </c>
      <c r="N5" s="1012">
        <f aca="true" t="shared" si="0" ref="N5:P12">+E5-U5</f>
        <v>0</v>
      </c>
      <c r="O5" s="1012">
        <f t="shared" si="0"/>
        <v>0</v>
      </c>
      <c r="P5" s="1012">
        <f t="shared" si="0"/>
        <v>0</v>
      </c>
      <c r="Q5" s="1037"/>
      <c r="R5" s="1037"/>
      <c r="S5" s="1038"/>
      <c r="T5" s="1035">
        <f aca="true" t="shared" si="1" ref="T5:T14">+D5-M5</f>
        <v>0</v>
      </c>
      <c r="U5" s="1035">
        <v>67945</v>
      </c>
      <c r="V5" s="1035">
        <v>67945</v>
      </c>
      <c r="W5" s="1035">
        <v>67945</v>
      </c>
      <c r="X5" s="1035">
        <f>+H5-Q5</f>
        <v>67945</v>
      </c>
      <c r="Y5" s="1037"/>
      <c r="Z5" s="1038"/>
    </row>
    <row r="6" spans="1:26" ht="29.25" customHeight="1">
      <c r="A6" s="1032">
        <v>2</v>
      </c>
      <c r="B6" s="1033" t="s">
        <v>649</v>
      </c>
      <c r="C6" s="1034" t="s">
        <v>207</v>
      </c>
      <c r="D6" s="1035">
        <v>30000</v>
      </c>
      <c r="E6" s="1035">
        <v>30000</v>
      </c>
      <c r="F6" s="1035">
        <v>30000</v>
      </c>
      <c r="G6" s="1035">
        <v>30000</v>
      </c>
      <c r="H6" s="1035">
        <v>30000</v>
      </c>
      <c r="I6" s="1012"/>
      <c r="J6" s="1012"/>
      <c r="K6" s="1036">
        <f>+I6+J6</f>
        <v>0</v>
      </c>
      <c r="L6" s="1036" t="str">
        <f aca="true" t="shared" si="2" ref="L6:L29">IF(K6&gt;H6,"módosítani"," ")</f>
        <v> </v>
      </c>
      <c r="M6" s="1035">
        <v>30000</v>
      </c>
      <c r="N6" s="1012">
        <f t="shared" si="0"/>
        <v>0</v>
      </c>
      <c r="O6" s="1012">
        <f t="shared" si="0"/>
        <v>0</v>
      </c>
      <c r="P6" s="1012">
        <f t="shared" si="0"/>
        <v>0</v>
      </c>
      <c r="Q6" s="1039"/>
      <c r="R6" s="1039"/>
      <c r="S6" s="1038"/>
      <c r="T6" s="1035">
        <f t="shared" si="1"/>
        <v>0</v>
      </c>
      <c r="U6" s="1035">
        <v>30000</v>
      </c>
      <c r="V6" s="1035">
        <v>30000</v>
      </c>
      <c r="W6" s="1035">
        <v>30000</v>
      </c>
      <c r="X6" s="1035">
        <f aca="true" t="shared" si="3" ref="X6:X24">+H6-Q6</f>
        <v>30000</v>
      </c>
      <c r="Y6" s="1037"/>
      <c r="Z6" s="1038"/>
    </row>
    <row r="7" spans="1:26" ht="29.25" customHeight="1">
      <c r="A7" s="1032">
        <v>3</v>
      </c>
      <c r="B7" s="1033" t="s">
        <v>650</v>
      </c>
      <c r="C7" s="1040" t="s">
        <v>207</v>
      </c>
      <c r="D7" s="1035">
        <v>60000</v>
      </c>
      <c r="E7" s="1035">
        <v>60000</v>
      </c>
      <c r="F7" s="1035">
        <v>60000</v>
      </c>
      <c r="G7" s="1035">
        <v>60000</v>
      </c>
      <c r="H7" s="1035">
        <v>60000</v>
      </c>
      <c r="I7" s="1036"/>
      <c r="J7" s="1036"/>
      <c r="K7" s="1036">
        <f>+I7+J7</f>
        <v>0</v>
      </c>
      <c r="L7" s="1036" t="str">
        <f t="shared" si="2"/>
        <v> </v>
      </c>
      <c r="M7" s="1035">
        <v>60000</v>
      </c>
      <c r="N7" s="1012">
        <f t="shared" si="0"/>
        <v>0</v>
      </c>
      <c r="O7" s="1012">
        <f t="shared" si="0"/>
        <v>0</v>
      </c>
      <c r="P7" s="1012">
        <f t="shared" si="0"/>
        <v>0</v>
      </c>
      <c r="Q7" s="1041"/>
      <c r="R7" s="1041"/>
      <c r="S7" s="1038"/>
      <c r="T7" s="1035">
        <f t="shared" si="1"/>
        <v>0</v>
      </c>
      <c r="U7" s="1035">
        <v>60000</v>
      </c>
      <c r="V7" s="1035">
        <v>60000</v>
      </c>
      <c r="W7" s="1035">
        <v>60000</v>
      </c>
      <c r="X7" s="1035">
        <f t="shared" si="3"/>
        <v>60000</v>
      </c>
      <c r="Y7" s="1037"/>
      <c r="Z7" s="1038"/>
    </row>
    <row r="8" spans="1:26" ht="29.25" customHeight="1">
      <c r="A8" s="1032">
        <v>4</v>
      </c>
      <c r="B8" s="1033" t="s">
        <v>651</v>
      </c>
      <c r="C8" s="1040" t="s">
        <v>207</v>
      </c>
      <c r="D8" s="1035">
        <v>400000</v>
      </c>
      <c r="E8" s="1035">
        <v>400000</v>
      </c>
      <c r="F8" s="1035">
        <v>400000</v>
      </c>
      <c r="G8" s="1035">
        <v>400000</v>
      </c>
      <c r="H8" s="1035">
        <v>400000</v>
      </c>
      <c r="I8" s="1011"/>
      <c r="J8" s="1011"/>
      <c r="K8" s="1036">
        <f aca="true" t="shared" si="4" ref="K8:K29">+I8+J8</f>
        <v>0</v>
      </c>
      <c r="L8" s="1036" t="str">
        <f t="shared" si="2"/>
        <v> </v>
      </c>
      <c r="M8" s="1035">
        <v>400000</v>
      </c>
      <c r="N8" s="1012">
        <f t="shared" si="0"/>
        <v>0</v>
      </c>
      <c r="O8" s="1012">
        <f t="shared" si="0"/>
        <v>0</v>
      </c>
      <c r="P8" s="1012">
        <f t="shared" si="0"/>
        <v>0</v>
      </c>
      <c r="Q8" s="1041"/>
      <c r="R8" s="1041"/>
      <c r="S8" s="1038"/>
      <c r="T8" s="1035">
        <f t="shared" si="1"/>
        <v>0</v>
      </c>
      <c r="U8" s="1035">
        <v>400000</v>
      </c>
      <c r="V8" s="1035">
        <v>400000</v>
      </c>
      <c r="W8" s="1035">
        <v>400000</v>
      </c>
      <c r="X8" s="1035">
        <f t="shared" si="3"/>
        <v>400000</v>
      </c>
      <c r="Y8" s="1037"/>
      <c r="Z8" s="1038"/>
    </row>
    <row r="9" spans="1:26" ht="29.25" customHeight="1">
      <c r="A9" s="1032">
        <v>5</v>
      </c>
      <c r="B9" s="1033" t="s">
        <v>652</v>
      </c>
      <c r="C9" s="1040" t="s">
        <v>207</v>
      </c>
      <c r="D9" s="1035">
        <v>15000</v>
      </c>
      <c r="E9" s="1035">
        <v>15000</v>
      </c>
      <c r="F9" s="1035">
        <v>15000</v>
      </c>
      <c r="G9" s="1035">
        <v>15000</v>
      </c>
      <c r="H9" s="1035">
        <v>15000</v>
      </c>
      <c r="I9" s="1011"/>
      <c r="J9" s="1011"/>
      <c r="K9" s="1036">
        <f t="shared" si="4"/>
        <v>0</v>
      </c>
      <c r="L9" s="1036" t="str">
        <f t="shared" si="2"/>
        <v> </v>
      </c>
      <c r="M9" s="1035">
        <v>15000</v>
      </c>
      <c r="N9" s="1012">
        <f t="shared" si="0"/>
        <v>0</v>
      </c>
      <c r="O9" s="1012">
        <f t="shared" si="0"/>
        <v>0</v>
      </c>
      <c r="P9" s="1012">
        <f t="shared" si="0"/>
        <v>0</v>
      </c>
      <c r="Q9" s="1041"/>
      <c r="R9" s="1041"/>
      <c r="S9" s="1038"/>
      <c r="T9" s="1035">
        <f t="shared" si="1"/>
        <v>0</v>
      </c>
      <c r="U9" s="1035">
        <v>15000</v>
      </c>
      <c r="V9" s="1035">
        <v>15000</v>
      </c>
      <c r="W9" s="1035">
        <v>15000</v>
      </c>
      <c r="X9" s="1035">
        <f t="shared" si="3"/>
        <v>15000</v>
      </c>
      <c r="Y9" s="1037"/>
      <c r="Z9" s="1038"/>
    </row>
    <row r="10" spans="1:26" ht="29.25" customHeight="1">
      <c r="A10" s="1032">
        <v>6</v>
      </c>
      <c r="B10" s="1033" t="s">
        <v>653</v>
      </c>
      <c r="C10" s="1040" t="s">
        <v>207</v>
      </c>
      <c r="D10" s="1035">
        <v>10000</v>
      </c>
      <c r="E10" s="1035">
        <v>10000</v>
      </c>
      <c r="F10" s="1035">
        <v>10000</v>
      </c>
      <c r="G10" s="1035">
        <v>10000</v>
      </c>
      <c r="H10" s="1035">
        <v>10000</v>
      </c>
      <c r="I10" s="1011"/>
      <c r="J10" s="1011"/>
      <c r="K10" s="1036">
        <f t="shared" si="4"/>
        <v>0</v>
      </c>
      <c r="L10" s="1036" t="str">
        <f t="shared" si="2"/>
        <v> </v>
      </c>
      <c r="M10" s="1035">
        <v>10000</v>
      </c>
      <c r="N10" s="1012">
        <f t="shared" si="0"/>
        <v>0</v>
      </c>
      <c r="O10" s="1012">
        <f t="shared" si="0"/>
        <v>0</v>
      </c>
      <c r="P10" s="1012">
        <f t="shared" si="0"/>
        <v>0</v>
      </c>
      <c r="Q10" s="1041"/>
      <c r="R10" s="1041"/>
      <c r="S10" s="1038"/>
      <c r="T10" s="1035">
        <f t="shared" si="1"/>
        <v>0</v>
      </c>
      <c r="U10" s="1035">
        <v>10000</v>
      </c>
      <c r="V10" s="1035">
        <v>10000</v>
      </c>
      <c r="W10" s="1035">
        <v>10000</v>
      </c>
      <c r="X10" s="1035">
        <f t="shared" si="3"/>
        <v>10000</v>
      </c>
      <c r="Y10" s="1037"/>
      <c r="Z10" s="1038"/>
    </row>
    <row r="11" spans="1:26" ht="29.25" customHeight="1">
      <c r="A11" s="1032">
        <v>7</v>
      </c>
      <c r="B11" s="1042" t="s">
        <v>551</v>
      </c>
      <c r="C11" s="1040" t="s">
        <v>207</v>
      </c>
      <c r="D11" s="1012">
        <v>9563541</v>
      </c>
      <c r="E11" s="1012">
        <v>9563541</v>
      </c>
      <c r="F11" s="1012">
        <v>9563541</v>
      </c>
      <c r="G11" s="1012">
        <v>9563541</v>
      </c>
      <c r="H11" s="1012">
        <v>9563541</v>
      </c>
      <c r="I11" s="1012">
        <v>9563541</v>
      </c>
      <c r="J11" s="1011"/>
      <c r="K11" s="1036">
        <f t="shared" si="4"/>
        <v>9563541</v>
      </c>
      <c r="L11" s="1036" t="str">
        <f t="shared" si="2"/>
        <v> </v>
      </c>
      <c r="M11" s="1012">
        <v>0</v>
      </c>
      <c r="N11" s="1012">
        <f t="shared" si="0"/>
        <v>0</v>
      </c>
      <c r="O11" s="1012">
        <f t="shared" si="0"/>
        <v>0</v>
      </c>
      <c r="P11" s="1012">
        <f t="shared" si="0"/>
        <v>0</v>
      </c>
      <c r="Q11" s="1041"/>
      <c r="R11" s="1041"/>
      <c r="S11" s="1038"/>
      <c r="T11" s="1035">
        <f t="shared" si="1"/>
        <v>9563541</v>
      </c>
      <c r="U11" s="1035">
        <v>9563541</v>
      </c>
      <c r="V11" s="1035">
        <v>9563541</v>
      </c>
      <c r="W11" s="1035">
        <v>9563541</v>
      </c>
      <c r="X11" s="1035">
        <f t="shared" si="3"/>
        <v>9563541</v>
      </c>
      <c r="Y11" s="1037"/>
      <c r="Z11" s="1038"/>
    </row>
    <row r="12" spans="1:26" ht="29.25" customHeight="1">
      <c r="A12" s="1032">
        <v>8</v>
      </c>
      <c r="B12" s="1042" t="s">
        <v>552</v>
      </c>
      <c r="C12" s="1040" t="s">
        <v>207</v>
      </c>
      <c r="D12" s="1012">
        <v>500000</v>
      </c>
      <c r="E12" s="1012">
        <v>500000</v>
      </c>
      <c r="F12" s="1012">
        <v>500000</v>
      </c>
      <c r="G12" s="1012">
        <v>500000</v>
      </c>
      <c r="H12" s="1012">
        <f>500000+564619+48241</f>
        <v>1112860</v>
      </c>
      <c r="I12" s="1011">
        <f>572370+385950</f>
        <v>958320</v>
      </c>
      <c r="J12" s="1011">
        <v>154540</v>
      </c>
      <c r="K12" s="1036">
        <f t="shared" si="4"/>
        <v>1112860</v>
      </c>
      <c r="L12" s="1036" t="str">
        <f t="shared" si="2"/>
        <v> </v>
      </c>
      <c r="M12" s="1012">
        <v>500000</v>
      </c>
      <c r="N12" s="1012">
        <f t="shared" si="0"/>
        <v>0</v>
      </c>
      <c r="O12" s="1012">
        <f t="shared" si="0"/>
        <v>0</v>
      </c>
      <c r="P12" s="1012">
        <f t="shared" si="0"/>
        <v>0</v>
      </c>
      <c r="Q12" s="1041"/>
      <c r="R12" s="1041"/>
      <c r="S12" s="1038"/>
      <c r="T12" s="1035">
        <f t="shared" si="1"/>
        <v>0</v>
      </c>
      <c r="U12" s="1035">
        <v>500000</v>
      </c>
      <c r="V12" s="1035">
        <v>500000</v>
      </c>
      <c r="W12" s="1035">
        <v>500000</v>
      </c>
      <c r="X12" s="1035">
        <f t="shared" si="3"/>
        <v>1112860</v>
      </c>
      <c r="Y12" s="1037"/>
      <c r="Z12" s="1038"/>
    </row>
    <row r="13" spans="1:26" ht="43.5" customHeight="1">
      <c r="A13" s="1032">
        <v>9</v>
      </c>
      <c r="B13" s="1042" t="s">
        <v>553</v>
      </c>
      <c r="C13" s="1040" t="s">
        <v>206</v>
      </c>
      <c r="D13" s="1012">
        <v>3122312</v>
      </c>
      <c r="E13" s="1012">
        <v>3122312</v>
      </c>
      <c r="F13" s="1012">
        <v>3122312</v>
      </c>
      <c r="G13" s="1012">
        <v>3122312</v>
      </c>
      <c r="H13" s="1012">
        <v>3122312</v>
      </c>
      <c r="I13" s="1011">
        <v>2052205</v>
      </c>
      <c r="J13" s="1011">
        <f>280584+13816+85039+174656</f>
        <v>554095</v>
      </c>
      <c r="K13" s="1036">
        <f t="shared" si="4"/>
        <v>2606300</v>
      </c>
      <c r="L13" s="1036" t="str">
        <f t="shared" si="2"/>
        <v> </v>
      </c>
      <c r="M13" s="1012">
        <v>3122312</v>
      </c>
      <c r="N13" s="1012">
        <v>3122312</v>
      </c>
      <c r="O13" s="1012">
        <v>3122312</v>
      </c>
      <c r="P13" s="1012">
        <v>3122312</v>
      </c>
      <c r="Q13" s="1012">
        <v>3122312</v>
      </c>
      <c r="R13" s="1042"/>
      <c r="S13" s="1038"/>
      <c r="T13" s="1035">
        <f t="shared" si="1"/>
        <v>0</v>
      </c>
      <c r="U13" s="1035">
        <f aca="true" t="shared" si="5" ref="U13:W14">+E13-N13</f>
        <v>0</v>
      </c>
      <c r="V13" s="1035">
        <f t="shared" si="5"/>
        <v>0</v>
      </c>
      <c r="W13" s="1035">
        <f t="shared" si="5"/>
        <v>0</v>
      </c>
      <c r="X13" s="1035">
        <f t="shared" si="3"/>
        <v>0</v>
      </c>
      <c r="Y13" s="1037"/>
      <c r="Z13" s="1038"/>
    </row>
    <row r="14" spans="1:26" ht="43.5" customHeight="1">
      <c r="A14" s="1032">
        <v>10</v>
      </c>
      <c r="B14" s="1042" t="s">
        <v>656</v>
      </c>
      <c r="C14" s="1040" t="s">
        <v>207</v>
      </c>
      <c r="D14" s="1011">
        <v>24439880</v>
      </c>
      <c r="E14" s="1011">
        <v>24439880</v>
      </c>
      <c r="F14" s="1011">
        <v>24439880</v>
      </c>
      <c r="G14" s="1011">
        <v>24439880</v>
      </c>
      <c r="H14" s="1036">
        <v>24439880</v>
      </c>
      <c r="I14" s="1011">
        <v>18628495</v>
      </c>
      <c r="J14" s="1011">
        <f>498859+399060+738064+57456+479925+169830+2686500</f>
        <v>5029694</v>
      </c>
      <c r="K14" s="1036">
        <f t="shared" si="4"/>
        <v>23658189</v>
      </c>
      <c r="L14" s="1036" t="str">
        <f t="shared" si="2"/>
        <v> </v>
      </c>
      <c r="M14" s="1043">
        <v>19340856</v>
      </c>
      <c r="N14" s="1043">
        <v>19340856</v>
      </c>
      <c r="O14" s="1043">
        <v>19340856</v>
      </c>
      <c r="P14" s="1043">
        <v>19340856</v>
      </c>
      <c r="Q14" s="1043">
        <v>19340856</v>
      </c>
      <c r="R14" s="1041"/>
      <c r="S14" s="1038"/>
      <c r="T14" s="1043">
        <f t="shared" si="1"/>
        <v>5099024</v>
      </c>
      <c r="U14" s="1035">
        <f t="shared" si="5"/>
        <v>5099024</v>
      </c>
      <c r="V14" s="1035">
        <f t="shared" si="5"/>
        <v>5099024</v>
      </c>
      <c r="W14" s="1035">
        <f t="shared" si="5"/>
        <v>5099024</v>
      </c>
      <c r="X14" s="1035">
        <f t="shared" si="3"/>
        <v>5099024</v>
      </c>
      <c r="Y14" s="1037">
        <f>+J14-R14</f>
        <v>5029694</v>
      </c>
      <c r="Z14" s="1038"/>
    </row>
    <row r="15" spans="1:26" ht="43.5" customHeight="1">
      <c r="A15" s="1032">
        <v>11</v>
      </c>
      <c r="B15" s="1042" t="s">
        <v>657</v>
      </c>
      <c r="C15" s="1040" t="s">
        <v>207</v>
      </c>
      <c r="D15" s="1011">
        <v>1654681</v>
      </c>
      <c r="E15" s="1011">
        <v>1654681</v>
      </c>
      <c r="F15" s="1011">
        <v>1654681</v>
      </c>
      <c r="G15" s="1011">
        <v>1654681</v>
      </c>
      <c r="H15" s="1036">
        <f>1654681-905380</f>
        <v>749301</v>
      </c>
      <c r="I15" s="1011">
        <v>590000</v>
      </c>
      <c r="J15" s="1011">
        <v>159300</v>
      </c>
      <c r="K15" s="1036">
        <f t="shared" si="4"/>
        <v>749300</v>
      </c>
      <c r="L15" s="1036" t="str">
        <f t="shared" si="2"/>
        <v> </v>
      </c>
      <c r="M15" s="1011">
        <v>1654681</v>
      </c>
      <c r="N15" s="1012">
        <f aca="true" t="shared" si="6" ref="N15:P18">+E15-U15</f>
        <v>0</v>
      </c>
      <c r="O15" s="1012">
        <f t="shared" si="6"/>
        <v>0</v>
      </c>
      <c r="P15" s="1012">
        <f t="shared" si="6"/>
        <v>0</v>
      </c>
      <c r="Q15" s="1041"/>
      <c r="R15" s="1041"/>
      <c r="S15" s="1038"/>
      <c r="T15" s="1043"/>
      <c r="U15" s="1035">
        <v>1654681</v>
      </c>
      <c r="V15" s="1035">
        <v>1654681</v>
      </c>
      <c r="W15" s="1035">
        <v>1654681</v>
      </c>
      <c r="X15" s="1035">
        <f t="shared" si="3"/>
        <v>749301</v>
      </c>
      <c r="Y15" s="1037">
        <f>+J15-R15</f>
        <v>159300</v>
      </c>
      <c r="Z15" s="1038"/>
    </row>
    <row r="16" spans="1:26" ht="43.5" customHeight="1">
      <c r="A16" s="1032">
        <v>12</v>
      </c>
      <c r="B16" s="1033" t="s">
        <v>658</v>
      </c>
      <c r="C16" s="1044" t="s">
        <v>207</v>
      </c>
      <c r="D16" s="1011">
        <v>1536700</v>
      </c>
      <c r="E16" s="1011">
        <v>1536700</v>
      </c>
      <c r="F16" s="1011">
        <v>1536700</v>
      </c>
      <c r="G16" s="1011">
        <v>1536700</v>
      </c>
      <c r="H16" s="1036">
        <f>1536700+60000+16200</f>
        <v>1612900</v>
      </c>
      <c r="I16" s="1011">
        <f>762000+508000</f>
        <v>1270000</v>
      </c>
      <c r="J16" s="1045">
        <f>205740+137160</f>
        <v>342900</v>
      </c>
      <c r="K16" s="1036">
        <f t="shared" si="4"/>
        <v>1612900</v>
      </c>
      <c r="L16" s="1036" t="str">
        <f t="shared" si="2"/>
        <v> </v>
      </c>
      <c r="M16" s="1011">
        <v>1536700</v>
      </c>
      <c r="N16" s="1012">
        <f t="shared" si="6"/>
        <v>0</v>
      </c>
      <c r="O16" s="1012">
        <f t="shared" si="6"/>
        <v>0</v>
      </c>
      <c r="P16" s="1012">
        <f t="shared" si="6"/>
        <v>0</v>
      </c>
      <c r="Q16" s="1041"/>
      <c r="R16" s="1041"/>
      <c r="S16" s="1038"/>
      <c r="T16" s="1043"/>
      <c r="U16" s="1035">
        <v>1536700</v>
      </c>
      <c r="V16" s="1035">
        <v>1536700</v>
      </c>
      <c r="W16" s="1035">
        <v>1536700</v>
      </c>
      <c r="X16" s="1035">
        <f t="shared" si="3"/>
        <v>1612900</v>
      </c>
      <c r="Y16" s="1037">
        <f>+J16-R16</f>
        <v>342900</v>
      </c>
      <c r="Z16" s="1038"/>
    </row>
    <row r="17" spans="1:26" ht="43.5" customHeight="1">
      <c r="A17" s="1032">
        <v>13</v>
      </c>
      <c r="B17" s="1033" t="s">
        <v>659</v>
      </c>
      <c r="C17" s="1040" t="s">
        <v>207</v>
      </c>
      <c r="D17" s="1011">
        <v>2500000</v>
      </c>
      <c r="E17" s="1011">
        <v>3000000</v>
      </c>
      <c r="F17" s="1011">
        <v>3000000</v>
      </c>
      <c r="G17" s="1011">
        <v>3000000</v>
      </c>
      <c r="H17" s="1036">
        <v>3000000</v>
      </c>
      <c r="I17" s="1011"/>
      <c r="J17" s="1045"/>
      <c r="K17" s="1036">
        <f t="shared" si="4"/>
        <v>0</v>
      </c>
      <c r="L17" s="1036" t="str">
        <f t="shared" si="2"/>
        <v> </v>
      </c>
      <c r="M17" s="1011">
        <v>2500000</v>
      </c>
      <c r="N17" s="1012">
        <f t="shared" si="6"/>
        <v>0</v>
      </c>
      <c r="O17" s="1012">
        <f t="shared" si="6"/>
        <v>0</v>
      </c>
      <c r="P17" s="1012">
        <f t="shared" si="6"/>
        <v>0</v>
      </c>
      <c r="Q17" s="1041"/>
      <c r="R17" s="1041"/>
      <c r="S17" s="1038"/>
      <c r="T17" s="1043"/>
      <c r="U17" s="1043">
        <v>3000000</v>
      </c>
      <c r="V17" s="1043">
        <v>3000000</v>
      </c>
      <c r="W17" s="1043">
        <v>3000000</v>
      </c>
      <c r="X17" s="1035">
        <f t="shared" si="3"/>
        <v>3000000</v>
      </c>
      <c r="Y17" s="1037">
        <f>+J17-R17</f>
        <v>0</v>
      </c>
      <c r="Z17" s="1038"/>
    </row>
    <row r="18" spans="1:26" ht="43.5" customHeight="1">
      <c r="A18" s="1032">
        <v>14</v>
      </c>
      <c r="B18" s="1042" t="s">
        <v>660</v>
      </c>
      <c r="C18" s="1040" t="s">
        <v>207</v>
      </c>
      <c r="D18" s="1011">
        <v>254000</v>
      </c>
      <c r="E18" s="1011">
        <v>254000</v>
      </c>
      <c r="F18" s="1011">
        <v>254000</v>
      </c>
      <c r="G18" s="1011">
        <v>254000</v>
      </c>
      <c r="H18" s="1036">
        <v>254000</v>
      </c>
      <c r="I18" s="1011">
        <v>179850</v>
      </c>
      <c r="J18" s="1045"/>
      <c r="K18" s="1036">
        <f t="shared" si="4"/>
        <v>179850</v>
      </c>
      <c r="L18" s="1036" t="str">
        <f t="shared" si="2"/>
        <v> </v>
      </c>
      <c r="M18" s="1011">
        <v>254000</v>
      </c>
      <c r="N18" s="1012">
        <f t="shared" si="6"/>
        <v>0</v>
      </c>
      <c r="O18" s="1012">
        <f t="shared" si="6"/>
        <v>0</v>
      </c>
      <c r="P18" s="1012">
        <f t="shared" si="6"/>
        <v>0</v>
      </c>
      <c r="Q18" s="1041"/>
      <c r="R18" s="1041"/>
      <c r="S18" s="1038"/>
      <c r="T18" s="1043"/>
      <c r="U18" s="1043">
        <v>254000</v>
      </c>
      <c r="V18" s="1043">
        <v>254000</v>
      </c>
      <c r="W18" s="1043">
        <v>254000</v>
      </c>
      <c r="X18" s="1035">
        <f t="shared" si="3"/>
        <v>254000</v>
      </c>
      <c r="Y18" s="1037"/>
      <c r="Z18" s="1038"/>
    </row>
    <row r="19" spans="1:26" ht="43.5" customHeight="1">
      <c r="A19" s="1032">
        <v>15</v>
      </c>
      <c r="B19" s="1042" t="s">
        <v>691</v>
      </c>
      <c r="C19" s="1040" t="s">
        <v>207</v>
      </c>
      <c r="D19" s="1011"/>
      <c r="E19" s="1011"/>
      <c r="F19" s="1011"/>
      <c r="G19" s="1011">
        <v>7000000</v>
      </c>
      <c r="H19" s="1036">
        <v>7000000</v>
      </c>
      <c r="I19" s="1011"/>
      <c r="J19" s="1045"/>
      <c r="K19" s="1036">
        <f t="shared" si="4"/>
        <v>0</v>
      </c>
      <c r="L19" s="1036" t="str">
        <f t="shared" si="2"/>
        <v> </v>
      </c>
      <c r="M19" s="1043"/>
      <c r="N19" s="1043"/>
      <c r="O19" s="1043"/>
      <c r="P19" s="1043"/>
      <c r="Q19" s="1041"/>
      <c r="R19" s="1041"/>
      <c r="S19" s="1038"/>
      <c r="T19" s="1043"/>
      <c r="U19" s="1043"/>
      <c r="V19" s="1043"/>
      <c r="W19" s="1043">
        <f>+G19-P19</f>
        <v>7000000</v>
      </c>
      <c r="X19" s="1035">
        <f t="shared" si="3"/>
        <v>7000000</v>
      </c>
      <c r="Y19" s="1037"/>
      <c r="Z19" s="1038"/>
    </row>
    <row r="20" spans="1:26" ht="43.5" customHeight="1">
      <c r="A20" s="1032">
        <v>16</v>
      </c>
      <c r="B20" s="1046" t="s">
        <v>692</v>
      </c>
      <c r="C20" s="1040" t="s">
        <v>207</v>
      </c>
      <c r="D20" s="1012"/>
      <c r="E20" s="1012"/>
      <c r="F20" s="1012"/>
      <c r="G20" s="1012">
        <f>14998400-622000+14788223</f>
        <v>29164623</v>
      </c>
      <c r="H20" s="1012">
        <f>14998400-622000+14788223</f>
        <v>29164623</v>
      </c>
      <c r="I20" s="1011"/>
      <c r="J20" s="1045"/>
      <c r="K20" s="1047"/>
      <c r="L20" s="1036" t="str">
        <f t="shared" si="2"/>
        <v> </v>
      </c>
      <c r="M20" s="1043"/>
      <c r="N20" s="1043"/>
      <c r="O20" s="1043"/>
      <c r="P20" s="1048">
        <v>14998400</v>
      </c>
      <c r="Q20" s="1048">
        <v>14998400</v>
      </c>
      <c r="R20" s="1041"/>
      <c r="S20" s="1038"/>
      <c r="T20" s="1043"/>
      <c r="U20" s="1043"/>
      <c r="V20" s="1043"/>
      <c r="W20" s="1011">
        <f>+G20-P20</f>
        <v>14166223</v>
      </c>
      <c r="X20" s="1035">
        <f t="shared" si="3"/>
        <v>14166223</v>
      </c>
      <c r="Y20" s="1037"/>
      <c r="Z20" s="1038"/>
    </row>
    <row r="21" spans="1:26" ht="43.5" customHeight="1">
      <c r="A21" s="1032">
        <v>17</v>
      </c>
      <c r="B21" s="1046" t="s">
        <v>698</v>
      </c>
      <c r="C21" s="1040"/>
      <c r="D21" s="1012"/>
      <c r="E21" s="1012"/>
      <c r="F21" s="1012"/>
      <c r="G21" s="1012"/>
      <c r="H21" s="1012">
        <v>493471</v>
      </c>
      <c r="I21" s="1011">
        <v>493471</v>
      </c>
      <c r="J21" s="1045"/>
      <c r="K21" s="1036">
        <f t="shared" si="4"/>
        <v>493471</v>
      </c>
      <c r="L21" s="1036" t="str">
        <f t="shared" si="2"/>
        <v> </v>
      </c>
      <c r="M21" s="1043"/>
      <c r="N21" s="1043"/>
      <c r="O21" s="1043"/>
      <c r="P21" s="1048"/>
      <c r="Q21" s="1041"/>
      <c r="R21" s="1041"/>
      <c r="S21" s="1038"/>
      <c r="T21" s="1043"/>
      <c r="U21" s="1043"/>
      <c r="V21" s="1043"/>
      <c r="W21" s="1011"/>
      <c r="X21" s="1035">
        <f t="shared" si="3"/>
        <v>493471</v>
      </c>
      <c r="Y21" s="1037"/>
      <c r="Z21" s="1038"/>
    </row>
    <row r="22" spans="1:26" ht="43.5" customHeight="1">
      <c r="A22" s="1032">
        <v>18</v>
      </c>
      <c r="B22" s="1046" t="s">
        <v>699</v>
      </c>
      <c r="C22" s="1040"/>
      <c r="D22" s="1012"/>
      <c r="E22" s="1012"/>
      <c r="F22" s="1012"/>
      <c r="G22" s="1012"/>
      <c r="H22" s="1012">
        <v>49999</v>
      </c>
      <c r="I22" s="1011">
        <v>49999</v>
      </c>
      <c r="J22" s="1045"/>
      <c r="K22" s="1036">
        <f t="shared" si="4"/>
        <v>49999</v>
      </c>
      <c r="L22" s="1036" t="str">
        <f t="shared" si="2"/>
        <v> </v>
      </c>
      <c r="M22" s="1043"/>
      <c r="N22" s="1043"/>
      <c r="O22" s="1043"/>
      <c r="P22" s="1048"/>
      <c r="Q22" s="1041"/>
      <c r="R22" s="1041"/>
      <c r="S22" s="1038"/>
      <c r="T22" s="1043"/>
      <c r="U22" s="1043"/>
      <c r="V22" s="1043"/>
      <c r="W22" s="1011"/>
      <c r="X22" s="1035">
        <f t="shared" si="3"/>
        <v>49999</v>
      </c>
      <c r="Y22" s="1037"/>
      <c r="Z22" s="1038"/>
    </row>
    <row r="23" spans="1:26" ht="43.5" customHeight="1">
      <c r="A23" s="1032">
        <v>19</v>
      </c>
      <c r="B23" s="1046" t="s">
        <v>700</v>
      </c>
      <c r="C23" s="1040"/>
      <c r="D23" s="1012"/>
      <c r="E23" s="1012"/>
      <c r="F23" s="1012"/>
      <c r="G23" s="1012"/>
      <c r="H23" s="1012">
        <f>70787+19112</f>
        <v>89899</v>
      </c>
      <c r="I23" s="1011">
        <v>70787</v>
      </c>
      <c r="J23" s="1045">
        <v>19112</v>
      </c>
      <c r="K23" s="1036">
        <f t="shared" si="4"/>
        <v>89899</v>
      </c>
      <c r="L23" s="1036" t="str">
        <f t="shared" si="2"/>
        <v> </v>
      </c>
      <c r="M23" s="1043"/>
      <c r="N23" s="1043"/>
      <c r="O23" s="1043"/>
      <c r="P23" s="1048"/>
      <c r="Q23" s="1041"/>
      <c r="R23" s="1041"/>
      <c r="S23" s="1038"/>
      <c r="T23" s="1043"/>
      <c r="U23" s="1043"/>
      <c r="V23" s="1043"/>
      <c r="W23" s="1011"/>
      <c r="X23" s="1035">
        <f t="shared" si="3"/>
        <v>89899</v>
      </c>
      <c r="Y23" s="1037"/>
      <c r="Z23" s="1038"/>
    </row>
    <row r="24" spans="1:26" ht="43.5" customHeight="1" thickBot="1">
      <c r="A24" s="1032">
        <v>20</v>
      </c>
      <c r="B24" s="1046" t="s">
        <v>701</v>
      </c>
      <c r="C24" s="1040"/>
      <c r="D24" s="1012"/>
      <c r="E24" s="1012"/>
      <c r="F24" s="1012"/>
      <c r="G24" s="1012"/>
      <c r="H24" s="1012">
        <f>5828300+1573641</f>
        <v>7401941</v>
      </c>
      <c r="I24" s="1011">
        <v>5828300</v>
      </c>
      <c r="J24" s="1045">
        <v>1573641</v>
      </c>
      <c r="K24" s="1036">
        <f t="shared" si="4"/>
        <v>7401941</v>
      </c>
      <c r="L24" s="1036" t="str">
        <f t="shared" si="2"/>
        <v> </v>
      </c>
      <c r="M24" s="1043"/>
      <c r="N24" s="1043"/>
      <c r="O24" s="1043"/>
      <c r="P24" s="1048"/>
      <c r="Q24" s="1041"/>
      <c r="R24" s="1041"/>
      <c r="S24" s="1038"/>
      <c r="T24" s="1043"/>
      <c r="U24" s="1043"/>
      <c r="V24" s="1043"/>
      <c r="W24" s="1011"/>
      <c r="X24" s="1035">
        <f t="shared" si="3"/>
        <v>7401941</v>
      </c>
      <c r="Y24" s="1037"/>
      <c r="Z24" s="1038"/>
    </row>
    <row r="25" spans="1:26" ht="43.5" customHeight="1" hidden="1">
      <c r="A25" s="1032"/>
      <c r="B25" s="1046"/>
      <c r="C25" s="1040"/>
      <c r="D25" s="1012"/>
      <c r="E25" s="1012"/>
      <c r="F25" s="1012"/>
      <c r="G25" s="1012"/>
      <c r="H25" s="1012"/>
      <c r="I25" s="1011"/>
      <c r="J25" s="1045"/>
      <c r="K25" s="1036"/>
      <c r="L25" s="1036"/>
      <c r="M25" s="1043"/>
      <c r="N25" s="1043"/>
      <c r="O25" s="1043"/>
      <c r="P25" s="1048"/>
      <c r="Q25" s="1041"/>
      <c r="R25" s="1041"/>
      <c r="S25" s="1038"/>
      <c r="T25" s="1043"/>
      <c r="U25" s="1043"/>
      <c r="V25" s="1043"/>
      <c r="W25" s="1011"/>
      <c r="X25" s="1011"/>
      <c r="Y25" s="1037"/>
      <c r="Z25" s="1038"/>
    </row>
    <row r="26" spans="1:26" ht="43.5" customHeight="1" hidden="1">
      <c r="A26" s="1032"/>
      <c r="B26" s="1046"/>
      <c r="C26" s="1040"/>
      <c r="D26" s="1012"/>
      <c r="E26" s="1012"/>
      <c r="F26" s="1012"/>
      <c r="G26" s="1012"/>
      <c r="H26" s="1012"/>
      <c r="I26" s="1011"/>
      <c r="J26" s="1045"/>
      <c r="K26" s="1036"/>
      <c r="L26" s="1036"/>
      <c r="M26" s="1043"/>
      <c r="N26" s="1043"/>
      <c r="O26" s="1043"/>
      <c r="P26" s="1048"/>
      <c r="Q26" s="1041"/>
      <c r="R26" s="1041"/>
      <c r="S26" s="1038"/>
      <c r="T26" s="1043"/>
      <c r="U26" s="1043"/>
      <c r="V26" s="1043"/>
      <c r="W26" s="1011"/>
      <c r="X26" s="1011"/>
      <c r="Y26" s="1037"/>
      <c r="Z26" s="1038"/>
    </row>
    <row r="27" spans="1:26" ht="43.5" customHeight="1" hidden="1">
      <c r="A27" s="1032"/>
      <c r="B27" s="1046"/>
      <c r="C27" s="1040"/>
      <c r="D27" s="1012"/>
      <c r="E27" s="1012"/>
      <c r="F27" s="1012"/>
      <c r="G27" s="1012"/>
      <c r="H27" s="1012"/>
      <c r="I27" s="1011"/>
      <c r="J27" s="1045"/>
      <c r="K27" s="1036"/>
      <c r="L27" s="1036"/>
      <c r="M27" s="1043"/>
      <c r="N27" s="1043"/>
      <c r="O27" s="1043"/>
      <c r="P27" s="1048"/>
      <c r="Q27" s="1041"/>
      <c r="R27" s="1041"/>
      <c r="S27" s="1038"/>
      <c r="T27" s="1043"/>
      <c r="U27" s="1043"/>
      <c r="V27" s="1043"/>
      <c r="W27" s="1011"/>
      <c r="X27" s="1011"/>
      <c r="Y27" s="1037"/>
      <c r="Z27" s="1038"/>
    </row>
    <row r="28" spans="1:26" ht="43.5" customHeight="1" hidden="1">
      <c r="A28" s="1032"/>
      <c r="B28" s="1046"/>
      <c r="C28" s="1040"/>
      <c r="D28" s="1012"/>
      <c r="E28" s="1012"/>
      <c r="F28" s="1012"/>
      <c r="G28" s="1012"/>
      <c r="H28" s="1012"/>
      <c r="I28" s="1011"/>
      <c r="J28" s="1045"/>
      <c r="K28" s="1036"/>
      <c r="L28" s="1036"/>
      <c r="M28" s="1043"/>
      <c r="N28" s="1043"/>
      <c r="O28" s="1043"/>
      <c r="P28" s="1048"/>
      <c r="Q28" s="1041"/>
      <c r="R28" s="1041"/>
      <c r="S28" s="1038"/>
      <c r="T28" s="1043"/>
      <c r="U28" s="1043"/>
      <c r="V28" s="1043"/>
      <c r="W28" s="1011"/>
      <c r="X28" s="1011"/>
      <c r="Y28" s="1037"/>
      <c r="Z28" s="1038"/>
    </row>
    <row r="29" spans="1:26" ht="29.25" customHeight="1" hidden="1" thickBot="1">
      <c r="A29" s="1032"/>
      <c r="B29" s="1049"/>
      <c r="C29" s="1040" t="s">
        <v>207</v>
      </c>
      <c r="D29" s="1011"/>
      <c r="E29" s="1011"/>
      <c r="F29" s="1011"/>
      <c r="G29" s="1011"/>
      <c r="H29" s="1036"/>
      <c r="I29" s="1011"/>
      <c r="J29" s="1050"/>
      <c r="K29" s="1036">
        <f t="shared" si="4"/>
        <v>0</v>
      </c>
      <c r="L29" s="1036" t="str">
        <f t="shared" si="2"/>
        <v> </v>
      </c>
      <c r="M29" s="1043"/>
      <c r="N29" s="1043"/>
      <c r="O29" s="1043"/>
      <c r="P29" s="1051"/>
      <c r="Q29" s="1041"/>
      <c r="R29" s="1041"/>
      <c r="S29" s="1038" t="e">
        <f>P29/N29</f>
        <v>#DIV/0!</v>
      </c>
      <c r="T29" s="1043"/>
      <c r="U29" s="1043"/>
      <c r="V29" s="1043"/>
      <c r="W29" s="1011">
        <f>G29-P29</f>
        <v>0</v>
      </c>
      <c r="X29" s="1011"/>
      <c r="Y29" s="1037">
        <f>+J29-R29</f>
        <v>0</v>
      </c>
      <c r="Z29" s="1038" t="e">
        <f>W29/U29</f>
        <v>#DIV/0!</v>
      </c>
    </row>
    <row r="30" spans="1:27" ht="31.5" customHeight="1" thickBot="1">
      <c r="A30" s="1222" t="s">
        <v>1</v>
      </c>
      <c r="B30" s="1225"/>
      <c r="C30" s="1020"/>
      <c r="D30" s="1052">
        <f>SUM(D5:D18)</f>
        <v>44154059</v>
      </c>
      <c r="E30" s="1052">
        <f>SUM(E5:E18)</f>
        <v>44654059</v>
      </c>
      <c r="F30" s="1052">
        <f>SUM(F5:F18)</f>
        <v>44654059</v>
      </c>
      <c r="G30" s="1052">
        <f>SUM(G5:G20)</f>
        <v>80818682</v>
      </c>
      <c r="H30" s="1053">
        <f>SUM(H5:H29)</f>
        <v>88637672</v>
      </c>
      <c r="I30" s="1052">
        <f>SUM(I5:I29)</f>
        <v>39738468</v>
      </c>
      <c r="J30" s="1052">
        <f>SUM(J5:J29)</f>
        <v>7847727</v>
      </c>
      <c r="K30" s="1054">
        <f>SUM(K5:K29)</f>
        <v>47586195</v>
      </c>
      <c r="L30" s="1055"/>
      <c r="M30" s="1052">
        <f aca="true" t="shared" si="7" ref="M30:R30">SUM(M5:M29)</f>
        <v>29491494</v>
      </c>
      <c r="N30" s="1052">
        <f>SUM(N5:N29)</f>
        <v>22463168</v>
      </c>
      <c r="O30" s="1052">
        <f>SUM(O5:O29)</f>
        <v>22463168</v>
      </c>
      <c r="P30" s="1054">
        <f t="shared" si="7"/>
        <v>37461568</v>
      </c>
      <c r="Q30" s="1054">
        <f t="shared" si="7"/>
        <v>37461568</v>
      </c>
      <c r="R30" s="1054">
        <f t="shared" si="7"/>
        <v>0</v>
      </c>
      <c r="S30" s="1056">
        <f>Q30/P30</f>
        <v>1</v>
      </c>
      <c r="T30" s="1052">
        <f aca="true" t="shared" si="8" ref="T30:Y30">SUM(T5:T29)</f>
        <v>14662565</v>
      </c>
      <c r="U30" s="1052">
        <f t="shared" si="8"/>
        <v>22190891</v>
      </c>
      <c r="V30" s="1052">
        <f>SUM(V5:V29)</f>
        <v>22190891</v>
      </c>
      <c r="W30" s="1052">
        <f t="shared" si="8"/>
        <v>43357114</v>
      </c>
      <c r="X30" s="1052">
        <f t="shared" si="8"/>
        <v>51176104</v>
      </c>
      <c r="Y30" s="1054">
        <f t="shared" si="8"/>
        <v>5531894</v>
      </c>
      <c r="Z30" s="1056">
        <f>X30/W30</f>
        <v>1.1803392633559513</v>
      </c>
      <c r="AA30" s="1057"/>
    </row>
    <row r="31" spans="1:27" ht="15.75">
      <c r="A31" s="1013"/>
      <c r="B31" s="1013"/>
      <c r="C31" s="1058"/>
      <c r="D31" s="1059"/>
      <c r="E31" s="1059"/>
      <c r="F31" s="1059"/>
      <c r="G31" s="1059"/>
      <c r="H31" s="1060"/>
      <c r="I31" s="1059"/>
      <c r="J31" s="1059"/>
      <c r="K31" s="1059">
        <f>+J31-J30</f>
        <v>-7847727</v>
      </c>
      <c r="L31" s="1059"/>
      <c r="M31" s="1059"/>
      <c r="N31" s="1059"/>
      <c r="O31" s="1059"/>
      <c r="P31" s="1059"/>
      <c r="Q31" s="1059"/>
      <c r="R31" s="1059"/>
      <c r="S31" s="1059"/>
      <c r="T31" s="1059"/>
      <c r="V31" s="1057"/>
      <c r="Y31" s="1057"/>
      <c r="AA31" s="1057"/>
    </row>
    <row r="32" spans="1:25" ht="15.75">
      <c r="A32" s="1013"/>
      <c r="B32" s="1016"/>
      <c r="C32" s="1058"/>
      <c r="D32" s="1061" t="str">
        <f>IF(M30+T30=D30," ","HIBA-NEM EGYENLŐ")</f>
        <v> </v>
      </c>
      <c r="E32" s="1059"/>
      <c r="F32" s="1059"/>
      <c r="G32" s="1059"/>
      <c r="H32" s="1060"/>
      <c r="I32" s="1059"/>
      <c r="J32" s="1059"/>
      <c r="K32" s="1059"/>
      <c r="L32" s="1059"/>
      <c r="M32" s="1059"/>
      <c r="N32" s="1059"/>
      <c r="O32" s="1059"/>
      <c r="P32" s="1059"/>
      <c r="Q32" s="1059"/>
      <c r="R32" s="1059"/>
      <c r="S32" s="1059"/>
      <c r="T32" s="1059"/>
      <c r="V32" s="1057"/>
      <c r="W32" s="1057"/>
      <c r="Y32" s="1057"/>
    </row>
    <row r="33" spans="1:20" ht="14.25">
      <c r="A33" s="1224" t="s">
        <v>59</v>
      </c>
      <c r="B33" s="1224"/>
      <c r="C33" s="1224"/>
      <c r="D33" s="1224"/>
      <c r="E33" s="1224"/>
      <c r="F33" s="1224"/>
      <c r="G33" s="1224"/>
      <c r="H33" s="1224"/>
      <c r="I33" s="1224"/>
      <c r="J33" s="1224"/>
      <c r="K33" s="1224"/>
      <c r="L33" s="1224"/>
      <c r="M33" s="1224"/>
      <c r="N33" s="1224"/>
      <c r="O33" s="1224"/>
      <c r="P33" s="1224"/>
      <c r="Q33" s="1224"/>
      <c r="R33" s="1224"/>
      <c r="S33" s="1224"/>
      <c r="T33" s="1224"/>
    </row>
    <row r="34" spans="1:20" ht="13.5" thickBot="1">
      <c r="A34" s="1062"/>
      <c r="B34" s="1062"/>
      <c r="D34" s="1062"/>
      <c r="E34" s="1062"/>
      <c r="F34" s="1062"/>
      <c r="G34" s="1062"/>
      <c r="H34" s="1062"/>
      <c r="I34" s="1062"/>
      <c r="J34" s="1062"/>
      <c r="K34" s="1062"/>
      <c r="L34" s="1062"/>
      <c r="M34" s="1062"/>
      <c r="N34" s="1062"/>
      <c r="O34" s="1062"/>
      <c r="P34" s="1062"/>
      <c r="Q34" s="1062"/>
      <c r="R34" s="1062"/>
      <c r="S34" s="1062"/>
      <c r="T34" s="1062"/>
    </row>
    <row r="35" spans="1:26" ht="29.25" customHeight="1" thickBot="1">
      <c r="A35" s="1018" t="s">
        <v>5</v>
      </c>
      <c r="B35" s="1019" t="s">
        <v>30</v>
      </c>
      <c r="C35" s="1020" t="s">
        <v>265</v>
      </c>
      <c r="D35" s="1216" t="s">
        <v>4</v>
      </c>
      <c r="E35" s="1217"/>
      <c r="F35" s="1217"/>
      <c r="G35" s="1217"/>
      <c r="H35" s="1217"/>
      <c r="I35" s="1217"/>
      <c r="J35" s="1217"/>
      <c r="K35" s="1218"/>
      <c r="L35" s="1021"/>
      <c r="M35" s="1219" t="s">
        <v>266</v>
      </c>
      <c r="N35" s="1220"/>
      <c r="O35" s="1220"/>
      <c r="P35" s="1220"/>
      <c r="Q35" s="1220"/>
      <c r="R35" s="1220"/>
      <c r="S35" s="1221"/>
      <c r="T35" s="1219" t="s">
        <v>25</v>
      </c>
      <c r="U35" s="1220"/>
      <c r="V35" s="1220"/>
      <c r="W35" s="1220"/>
      <c r="X35" s="1220"/>
      <c r="Y35" s="1220"/>
      <c r="Z35" s="1221"/>
    </row>
    <row r="36" spans="1:26" ht="28.5" customHeight="1" thickBot="1">
      <c r="A36" s="1063"/>
      <c r="B36" s="1064"/>
      <c r="C36" s="1065"/>
      <c r="D36" s="1026" t="s">
        <v>64</v>
      </c>
      <c r="E36" s="1027" t="s">
        <v>226</v>
      </c>
      <c r="F36" s="1027" t="s">
        <v>229</v>
      </c>
      <c r="G36" s="1028" t="s">
        <v>231</v>
      </c>
      <c r="H36" s="1028" t="s">
        <v>243</v>
      </c>
      <c r="I36" s="1028" t="s">
        <v>613</v>
      </c>
      <c r="J36" s="1028" t="s">
        <v>614</v>
      </c>
      <c r="K36" s="1028" t="s">
        <v>235</v>
      </c>
      <c r="L36" s="1066"/>
      <c r="M36" s="1026" t="s">
        <v>64</v>
      </c>
      <c r="N36" s="1027" t="s">
        <v>226</v>
      </c>
      <c r="O36" s="1027" t="s">
        <v>229</v>
      </c>
      <c r="P36" s="1028" t="s">
        <v>231</v>
      </c>
      <c r="Q36" s="1028" t="s">
        <v>243</v>
      </c>
      <c r="R36" s="1028" t="s">
        <v>248</v>
      </c>
      <c r="S36" s="1030" t="s">
        <v>235</v>
      </c>
      <c r="T36" s="1026" t="s">
        <v>64</v>
      </c>
      <c r="U36" s="1027" t="s">
        <v>226</v>
      </c>
      <c r="V36" s="1027" t="s">
        <v>229</v>
      </c>
      <c r="W36" s="1028" t="s">
        <v>231</v>
      </c>
      <c r="X36" s="1028" t="s">
        <v>243</v>
      </c>
      <c r="Y36" s="1028" t="s">
        <v>248</v>
      </c>
      <c r="Z36" s="1030" t="s">
        <v>235</v>
      </c>
    </row>
    <row r="37" spans="1:27" ht="29.25" customHeight="1" thickBot="1">
      <c r="A37" s="1067">
        <v>1</v>
      </c>
      <c r="B37" s="1046" t="s">
        <v>554</v>
      </c>
      <c r="C37" s="1040" t="s">
        <v>207</v>
      </c>
      <c r="D37" s="1012">
        <v>22189156</v>
      </c>
      <c r="E37" s="1012">
        <v>22189156</v>
      </c>
      <c r="F37" s="1012">
        <v>22189156</v>
      </c>
      <c r="G37" s="1012">
        <v>22189156</v>
      </c>
      <c r="H37" s="1012">
        <f>22189156+100000</f>
        <v>22289156</v>
      </c>
      <c r="I37" s="1010">
        <f>8870279+600000+8001497+100000</f>
        <v>17571776</v>
      </c>
      <c r="J37" s="1009">
        <f>2394976+162000+2160404</f>
        <v>4717380</v>
      </c>
      <c r="K37" s="1068">
        <f>+I37+J37</f>
        <v>22289156</v>
      </c>
      <c r="L37" s="1069">
        <f>+K37-H37</f>
        <v>0</v>
      </c>
      <c r="M37" s="1070"/>
      <c r="N37" s="1070"/>
      <c r="O37" s="1070"/>
      <c r="P37" s="1070"/>
      <c r="Q37" s="1071"/>
      <c r="R37" s="1071"/>
      <c r="S37" s="1038"/>
      <c r="T37" s="1012">
        <f aca="true" t="shared" si="9" ref="T37:T46">+D37-M37</f>
        <v>22189156</v>
      </c>
      <c r="U37" s="1012">
        <f aca="true" t="shared" si="10" ref="U37:U46">+E37-N37</f>
        <v>22189156</v>
      </c>
      <c r="V37" s="1012">
        <f aca="true" t="shared" si="11" ref="V37:V46">+F37-O37</f>
        <v>22189156</v>
      </c>
      <c r="W37" s="1012">
        <f aca="true" t="shared" si="12" ref="W37:W47">G37-P37</f>
        <v>22189156</v>
      </c>
      <c r="X37" s="1012">
        <f>+H37-Q37</f>
        <v>22289156</v>
      </c>
      <c r="Y37" s="1012">
        <f>J37-R37</f>
        <v>4717380</v>
      </c>
      <c r="Z37" s="1038">
        <f>X37/W37</f>
        <v>1.0045067058882275</v>
      </c>
      <c r="AA37" s="1057"/>
    </row>
    <row r="38" spans="1:27" ht="29.25" customHeight="1" thickBot="1">
      <c r="A38" s="1032">
        <v>2</v>
      </c>
      <c r="B38" s="1046" t="s">
        <v>555</v>
      </c>
      <c r="C38" s="1040" t="s">
        <v>207</v>
      </c>
      <c r="D38" s="1012">
        <v>2540000</v>
      </c>
      <c r="E38" s="1012">
        <v>2540000</v>
      </c>
      <c r="F38" s="1012">
        <v>2540000</v>
      </c>
      <c r="G38" s="1012">
        <v>2540000</v>
      </c>
      <c r="H38" s="1012">
        <v>2540000</v>
      </c>
      <c r="I38" s="1010">
        <v>1874395</v>
      </c>
      <c r="J38" s="1010">
        <v>506087</v>
      </c>
      <c r="K38" s="1072">
        <f aca="true" t="shared" si="13" ref="K38:K48">+I38+J38</f>
        <v>2380482</v>
      </c>
      <c r="L38" s="1069">
        <f aca="true" t="shared" si="14" ref="L38:L47">+K38-H38</f>
        <v>-159518</v>
      </c>
      <c r="M38" s="1043"/>
      <c r="N38" s="1043"/>
      <c r="O38" s="1043"/>
      <c r="P38" s="1043"/>
      <c r="Q38" s="1041"/>
      <c r="R38" s="1041"/>
      <c r="S38" s="1038"/>
      <c r="T38" s="1012">
        <f t="shared" si="9"/>
        <v>2540000</v>
      </c>
      <c r="U38" s="1012">
        <f t="shared" si="10"/>
        <v>2540000</v>
      </c>
      <c r="V38" s="1012">
        <f t="shared" si="11"/>
        <v>2540000</v>
      </c>
      <c r="W38" s="1012">
        <f t="shared" si="12"/>
        <v>2540000</v>
      </c>
      <c r="X38" s="1012">
        <f aca="true" t="shared" si="15" ref="X38:X51">+H38-Q38</f>
        <v>2540000</v>
      </c>
      <c r="Y38" s="1012">
        <f>J38-R38</f>
        <v>506087</v>
      </c>
      <c r="Z38" s="1038">
        <f>X38/W38</f>
        <v>1</v>
      </c>
      <c r="AA38" s="1057"/>
    </row>
    <row r="39" spans="1:26" ht="29.25" customHeight="1" thickBot="1">
      <c r="A39" s="1032">
        <v>3</v>
      </c>
      <c r="B39" s="1046" t="s">
        <v>655</v>
      </c>
      <c r="C39" s="1040" t="s">
        <v>207</v>
      </c>
      <c r="D39" s="1012">
        <v>2633600</v>
      </c>
      <c r="E39" s="1012">
        <v>2633600</v>
      </c>
      <c r="F39" s="1012">
        <v>2633600</v>
      </c>
      <c r="G39" s="1012">
        <v>2633600</v>
      </c>
      <c r="H39" s="1012">
        <v>2633600</v>
      </c>
      <c r="I39" s="1012">
        <f>469900+101317+256272</f>
        <v>827489</v>
      </c>
      <c r="J39" s="1011">
        <v>126873</v>
      </c>
      <c r="K39" s="1072">
        <f t="shared" si="13"/>
        <v>954362</v>
      </c>
      <c r="L39" s="1069">
        <f t="shared" si="14"/>
        <v>-1679238</v>
      </c>
      <c r="M39" s="1043"/>
      <c r="N39" s="1043"/>
      <c r="O39" s="1043"/>
      <c r="P39" s="1043"/>
      <c r="Q39" s="1041"/>
      <c r="R39" s="1041"/>
      <c r="S39" s="1038"/>
      <c r="T39" s="1012">
        <f t="shared" si="9"/>
        <v>2633600</v>
      </c>
      <c r="U39" s="1012">
        <f t="shared" si="10"/>
        <v>2633600</v>
      </c>
      <c r="V39" s="1012">
        <f t="shared" si="11"/>
        <v>2633600</v>
      </c>
      <c r="W39" s="1012">
        <f t="shared" si="12"/>
        <v>2633600</v>
      </c>
      <c r="X39" s="1012">
        <f t="shared" si="15"/>
        <v>2633600</v>
      </c>
      <c r="Y39" s="1012">
        <f>J39-R39</f>
        <v>126873</v>
      </c>
      <c r="Z39" s="1038">
        <f>X39/W39</f>
        <v>1</v>
      </c>
    </row>
    <row r="40" spans="1:26" ht="29.25" customHeight="1" thickBot="1">
      <c r="A40" s="1032">
        <v>4</v>
      </c>
      <c r="B40" s="1046" t="s">
        <v>556</v>
      </c>
      <c r="C40" s="1044" t="s">
        <v>207</v>
      </c>
      <c r="D40" s="1012">
        <v>32313072</v>
      </c>
      <c r="E40" s="1012">
        <v>32313072</v>
      </c>
      <c r="F40" s="1012">
        <v>32313072</v>
      </c>
      <c r="G40" s="1012">
        <v>32313072</v>
      </c>
      <c r="H40" s="1012">
        <f>32313072+228600</f>
        <v>32541672</v>
      </c>
      <c r="I40" s="1012">
        <f>8143422+10600355+180000+6699587</f>
        <v>25623364</v>
      </c>
      <c r="J40" s="1012">
        <f>2198724+2862096+48600+1808888</f>
        <v>6918308</v>
      </c>
      <c r="K40" s="1072">
        <f t="shared" si="13"/>
        <v>32541672</v>
      </c>
      <c r="L40" s="1069">
        <f t="shared" si="14"/>
        <v>0</v>
      </c>
      <c r="M40" s="1035">
        <v>15000000</v>
      </c>
      <c r="N40" s="1035">
        <v>15000000</v>
      </c>
      <c r="O40" s="1035">
        <v>15000000</v>
      </c>
      <c r="P40" s="1035">
        <v>15000000</v>
      </c>
      <c r="Q40" s="1035">
        <v>15000000</v>
      </c>
      <c r="R40" s="1037"/>
      <c r="S40" s="1038"/>
      <c r="T40" s="1012">
        <f t="shared" si="9"/>
        <v>17313072</v>
      </c>
      <c r="U40" s="1012">
        <f t="shared" si="10"/>
        <v>17313072</v>
      </c>
      <c r="V40" s="1012">
        <f t="shared" si="11"/>
        <v>17313072</v>
      </c>
      <c r="W40" s="1012">
        <f t="shared" si="12"/>
        <v>17313072</v>
      </c>
      <c r="X40" s="1012">
        <f t="shared" si="15"/>
        <v>17541672</v>
      </c>
      <c r="Y40" s="1012">
        <f>J40-R40</f>
        <v>6918308</v>
      </c>
      <c r="Z40" s="1038">
        <f>X40/W40</f>
        <v>1.0132038958770575</v>
      </c>
    </row>
    <row r="41" spans="1:26" ht="48.75" customHeight="1" thickBot="1">
      <c r="A41" s="1032">
        <v>5</v>
      </c>
      <c r="B41" s="1046" t="s">
        <v>557</v>
      </c>
      <c r="C41" s="1044" t="s">
        <v>206</v>
      </c>
      <c r="D41" s="1012">
        <v>4293132</v>
      </c>
      <c r="E41" s="1012">
        <v>4293132</v>
      </c>
      <c r="F41" s="1012">
        <v>4293132</v>
      </c>
      <c r="G41" s="1012">
        <v>4293132</v>
      </c>
      <c r="H41" s="1012">
        <v>4293132</v>
      </c>
      <c r="I41" s="1012">
        <v>1753248</v>
      </c>
      <c r="J41" s="1012">
        <v>473377</v>
      </c>
      <c r="K41" s="1072">
        <f t="shared" si="13"/>
        <v>2226625</v>
      </c>
      <c r="L41" s="1069">
        <f t="shared" si="14"/>
        <v>-2066507</v>
      </c>
      <c r="M41" s="1073">
        <v>4293132</v>
      </c>
      <c r="N41" s="1073">
        <v>4293132</v>
      </c>
      <c r="O41" s="1073">
        <v>4293132</v>
      </c>
      <c r="P41" s="1073">
        <v>4293132</v>
      </c>
      <c r="Q41" s="1073">
        <v>4293132</v>
      </c>
      <c r="R41" s="1039"/>
      <c r="S41" s="1038"/>
      <c r="T41" s="1012">
        <f t="shared" si="9"/>
        <v>0</v>
      </c>
      <c r="U41" s="1012">
        <f t="shared" si="10"/>
        <v>0</v>
      </c>
      <c r="V41" s="1012">
        <f t="shared" si="11"/>
        <v>0</v>
      </c>
      <c r="W41" s="1012">
        <f t="shared" si="12"/>
        <v>0</v>
      </c>
      <c r="X41" s="1012">
        <f t="shared" si="15"/>
        <v>0</v>
      </c>
      <c r="Y41" s="1012">
        <f>J41-R41</f>
        <v>473377</v>
      </c>
      <c r="Z41" s="1038" t="e">
        <f>W41/U41</f>
        <v>#DIV/0!</v>
      </c>
    </row>
    <row r="42" spans="1:26" ht="28.5" customHeight="1" thickBot="1">
      <c r="A42" s="1032">
        <v>6</v>
      </c>
      <c r="B42" s="1046" t="s">
        <v>661</v>
      </c>
      <c r="C42" s="1040" t="s">
        <v>207</v>
      </c>
      <c r="D42" s="1012">
        <v>1000000</v>
      </c>
      <c r="E42" s="1012">
        <v>1000000</v>
      </c>
      <c r="F42" s="1012">
        <v>1000000</v>
      </c>
      <c r="G42" s="1012">
        <v>1000000</v>
      </c>
      <c r="H42" s="1012">
        <v>1000000</v>
      </c>
      <c r="I42" s="1012"/>
      <c r="J42" s="1012"/>
      <c r="K42" s="1072">
        <f t="shared" si="13"/>
        <v>0</v>
      </c>
      <c r="L42" s="1069">
        <f t="shared" si="14"/>
        <v>-1000000</v>
      </c>
      <c r="M42" s="1073"/>
      <c r="N42" s="1073"/>
      <c r="O42" s="1073"/>
      <c r="P42" s="1073"/>
      <c r="Q42" s="1073"/>
      <c r="R42" s="1039"/>
      <c r="S42" s="1038"/>
      <c r="T42" s="1012">
        <f t="shared" si="9"/>
        <v>1000000</v>
      </c>
      <c r="U42" s="1012">
        <f t="shared" si="10"/>
        <v>1000000</v>
      </c>
      <c r="V42" s="1012">
        <f t="shared" si="11"/>
        <v>1000000</v>
      </c>
      <c r="W42" s="1012">
        <f t="shared" si="12"/>
        <v>1000000</v>
      </c>
      <c r="X42" s="1012">
        <f t="shared" si="15"/>
        <v>1000000</v>
      </c>
      <c r="Y42" s="1012">
        <f>J42-R42</f>
        <v>0</v>
      </c>
      <c r="Z42" s="1038"/>
    </row>
    <row r="43" spans="1:26" ht="28.5" customHeight="1" thickBot="1">
      <c r="A43" s="1032">
        <v>7</v>
      </c>
      <c r="B43" s="1046" t="s">
        <v>662</v>
      </c>
      <c r="C43" s="1040" t="s">
        <v>207</v>
      </c>
      <c r="D43" s="1012">
        <v>1000000</v>
      </c>
      <c r="E43" s="1012">
        <v>1000000</v>
      </c>
      <c r="F43" s="1012">
        <v>1000000</v>
      </c>
      <c r="G43" s="1012">
        <v>1000000</v>
      </c>
      <c r="H43" s="1012">
        <v>1000000</v>
      </c>
      <c r="I43" s="1012"/>
      <c r="J43" s="1012"/>
      <c r="K43" s="1072">
        <f t="shared" si="13"/>
        <v>0</v>
      </c>
      <c r="L43" s="1069">
        <f t="shared" si="14"/>
        <v>-1000000</v>
      </c>
      <c r="M43" s="1073"/>
      <c r="N43" s="1073"/>
      <c r="O43" s="1073"/>
      <c r="P43" s="1073"/>
      <c r="Q43" s="1073"/>
      <c r="R43" s="1039"/>
      <c r="S43" s="1038"/>
      <c r="T43" s="1012">
        <f t="shared" si="9"/>
        <v>1000000</v>
      </c>
      <c r="U43" s="1012">
        <f t="shared" si="10"/>
        <v>1000000</v>
      </c>
      <c r="V43" s="1012">
        <f t="shared" si="11"/>
        <v>1000000</v>
      </c>
      <c r="W43" s="1012">
        <f t="shared" si="12"/>
        <v>1000000</v>
      </c>
      <c r="X43" s="1012">
        <f t="shared" si="15"/>
        <v>1000000</v>
      </c>
      <c r="Y43" s="1012">
        <f>J43-R43</f>
        <v>0</v>
      </c>
      <c r="Z43" s="1038"/>
    </row>
    <row r="44" spans="1:26" ht="48.75" customHeight="1" thickBot="1">
      <c r="A44" s="1032">
        <v>8</v>
      </c>
      <c r="B44" s="1046" t="s">
        <v>663</v>
      </c>
      <c r="C44" s="1074" t="s">
        <v>207</v>
      </c>
      <c r="D44" s="1012">
        <v>5000000</v>
      </c>
      <c r="E44" s="1012">
        <v>5000000</v>
      </c>
      <c r="F44" s="1012">
        <v>5000000</v>
      </c>
      <c r="G44" s="1012">
        <v>5000000</v>
      </c>
      <c r="H44" s="1012">
        <f>5000000+2223250</f>
        <v>7223250</v>
      </c>
      <c r="I44" s="1012">
        <v>5687594</v>
      </c>
      <c r="J44" s="1012">
        <v>1535656</v>
      </c>
      <c r="K44" s="1072">
        <f t="shared" si="13"/>
        <v>7223250</v>
      </c>
      <c r="L44" s="1069">
        <f t="shared" si="14"/>
        <v>0</v>
      </c>
      <c r="M44" s="1073"/>
      <c r="N44" s="1073"/>
      <c r="O44" s="1073"/>
      <c r="P44" s="1073"/>
      <c r="Q44" s="1073"/>
      <c r="R44" s="1039"/>
      <c r="S44" s="1038"/>
      <c r="T44" s="1012">
        <f t="shared" si="9"/>
        <v>5000000</v>
      </c>
      <c r="U44" s="1012">
        <f t="shared" si="10"/>
        <v>5000000</v>
      </c>
      <c r="V44" s="1012">
        <f t="shared" si="11"/>
        <v>5000000</v>
      </c>
      <c r="W44" s="1012">
        <f t="shared" si="12"/>
        <v>5000000</v>
      </c>
      <c r="X44" s="1012">
        <f t="shared" si="15"/>
        <v>7223250</v>
      </c>
      <c r="Y44" s="1012">
        <f>J44-R44</f>
        <v>1535656</v>
      </c>
      <c r="Z44" s="1038"/>
    </row>
    <row r="45" spans="1:26" ht="48.75" customHeight="1" thickBot="1">
      <c r="A45" s="1032">
        <v>9</v>
      </c>
      <c r="B45" s="1046" t="s">
        <v>664</v>
      </c>
      <c r="C45" s="1074" t="s">
        <v>207</v>
      </c>
      <c r="D45" s="1012">
        <v>635388</v>
      </c>
      <c r="E45" s="1012">
        <v>635388</v>
      </c>
      <c r="F45" s="1012">
        <v>635388</v>
      </c>
      <c r="G45" s="1012">
        <v>635388</v>
      </c>
      <c r="H45" s="1012">
        <f>635388+152400</f>
        <v>787788</v>
      </c>
      <c r="I45" s="1012">
        <f>500305+120000</f>
        <v>620305</v>
      </c>
      <c r="J45" s="1012">
        <v>167483</v>
      </c>
      <c r="K45" s="1072">
        <f t="shared" si="13"/>
        <v>787788</v>
      </c>
      <c r="L45" s="1069">
        <f t="shared" si="14"/>
        <v>0</v>
      </c>
      <c r="M45" s="1073"/>
      <c r="N45" s="1073"/>
      <c r="O45" s="1073"/>
      <c r="P45" s="1073"/>
      <c r="Q45" s="1073"/>
      <c r="R45" s="1039"/>
      <c r="S45" s="1038"/>
      <c r="T45" s="1012">
        <f t="shared" si="9"/>
        <v>635388</v>
      </c>
      <c r="U45" s="1012">
        <f t="shared" si="10"/>
        <v>635388</v>
      </c>
      <c r="V45" s="1012">
        <f t="shared" si="11"/>
        <v>635388</v>
      </c>
      <c r="W45" s="1012">
        <f t="shared" si="12"/>
        <v>635388</v>
      </c>
      <c r="X45" s="1012">
        <f t="shared" si="15"/>
        <v>787788</v>
      </c>
      <c r="Y45" s="1012"/>
      <c r="Z45" s="1038"/>
    </row>
    <row r="46" spans="1:26" ht="48.75" customHeight="1" thickBot="1">
      <c r="A46" s="1032">
        <v>10</v>
      </c>
      <c r="B46" s="1046" t="s">
        <v>665</v>
      </c>
      <c r="C46" s="1040" t="s">
        <v>207</v>
      </c>
      <c r="D46" s="1012">
        <v>4200000</v>
      </c>
      <c r="E46" s="1012">
        <v>4200000</v>
      </c>
      <c r="F46" s="1012">
        <v>4200000</v>
      </c>
      <c r="G46" s="1012">
        <v>4200000</v>
      </c>
      <c r="H46" s="1012">
        <v>4200000</v>
      </c>
      <c r="I46" s="1012"/>
      <c r="J46" s="1012"/>
      <c r="K46" s="1072">
        <f t="shared" si="13"/>
        <v>0</v>
      </c>
      <c r="L46" s="1069">
        <f t="shared" si="14"/>
        <v>-4200000</v>
      </c>
      <c r="M46" s="1073"/>
      <c r="N46" s="1073"/>
      <c r="O46" s="1073"/>
      <c r="P46" s="1073"/>
      <c r="Q46" s="1073"/>
      <c r="R46" s="1039"/>
      <c r="S46" s="1038"/>
      <c r="T46" s="1012">
        <f t="shared" si="9"/>
        <v>4200000</v>
      </c>
      <c r="U46" s="1012">
        <f t="shared" si="10"/>
        <v>4200000</v>
      </c>
      <c r="V46" s="1012">
        <f t="shared" si="11"/>
        <v>4200000</v>
      </c>
      <c r="W46" s="1012">
        <f t="shared" si="12"/>
        <v>4200000</v>
      </c>
      <c r="X46" s="1012">
        <f t="shared" si="15"/>
        <v>4200000</v>
      </c>
      <c r="Y46" s="1012"/>
      <c r="Z46" s="1038"/>
    </row>
    <row r="47" spans="1:26" ht="48.75" customHeight="1" thickBot="1">
      <c r="A47" s="1032">
        <v>11</v>
      </c>
      <c r="B47" s="1042" t="s">
        <v>693</v>
      </c>
      <c r="C47" s="1040" t="s">
        <v>207</v>
      </c>
      <c r="D47" s="1011"/>
      <c r="E47" s="1011"/>
      <c r="F47" s="1011"/>
      <c r="G47" s="1011">
        <v>76185600</v>
      </c>
      <c r="H47" s="1036">
        <v>76185600</v>
      </c>
      <c r="I47" s="1011"/>
      <c r="J47" s="1012"/>
      <c r="K47" s="1072">
        <f t="shared" si="13"/>
        <v>0</v>
      </c>
      <c r="L47" s="1069">
        <f t="shared" si="14"/>
        <v>-76185600</v>
      </c>
      <c r="M47" s="1073"/>
      <c r="N47" s="1073"/>
      <c r="O47" s="1073"/>
      <c r="P47" s="1073">
        <v>76185600</v>
      </c>
      <c r="Q47" s="1073">
        <v>76185600</v>
      </c>
      <c r="R47" s="1039"/>
      <c r="S47" s="1038"/>
      <c r="T47" s="1012"/>
      <c r="U47" s="1012"/>
      <c r="V47" s="1012"/>
      <c r="W47" s="1012">
        <f t="shared" si="12"/>
        <v>0</v>
      </c>
      <c r="X47" s="1012">
        <f t="shared" si="15"/>
        <v>0</v>
      </c>
      <c r="Y47" s="1012"/>
      <c r="Z47" s="1038"/>
    </row>
    <row r="48" spans="1:26" ht="48.75" customHeight="1">
      <c r="A48" s="1032">
        <v>12</v>
      </c>
      <c r="B48" s="1042" t="s">
        <v>702</v>
      </c>
      <c r="C48" s="1040"/>
      <c r="D48" s="1011"/>
      <c r="E48" s="1011"/>
      <c r="F48" s="1011"/>
      <c r="G48" s="1011"/>
      <c r="H48" s="1036">
        <v>5603240</v>
      </c>
      <c r="I48" s="1011">
        <v>4412000</v>
      </c>
      <c r="J48" s="1012">
        <v>1191240</v>
      </c>
      <c r="K48" s="1072">
        <f t="shared" si="13"/>
        <v>5603240</v>
      </c>
      <c r="L48" s="1069">
        <f>+K48-H48</f>
        <v>0</v>
      </c>
      <c r="M48" s="1073"/>
      <c r="N48" s="1073"/>
      <c r="O48" s="1073"/>
      <c r="P48" s="1039"/>
      <c r="Q48" s="1075"/>
      <c r="R48" s="1075"/>
      <c r="S48" s="1038"/>
      <c r="T48" s="1073"/>
      <c r="U48" s="1073"/>
      <c r="V48" s="1073"/>
      <c r="W48" s="1012"/>
      <c r="X48" s="1012">
        <f t="shared" si="15"/>
        <v>5603240</v>
      </c>
      <c r="Y48" s="1012"/>
      <c r="Z48" s="1038"/>
    </row>
    <row r="49" spans="1:26" ht="48.75" customHeight="1">
      <c r="A49" s="1032">
        <v>13</v>
      </c>
      <c r="B49" s="1076" t="s">
        <v>711</v>
      </c>
      <c r="C49" s="1077"/>
      <c r="D49" s="1011"/>
      <c r="E49" s="1011"/>
      <c r="F49" s="1011"/>
      <c r="G49" s="1011"/>
      <c r="H49" s="1036">
        <f>5929200+21960000+116100+430000+116100</f>
        <v>28551400</v>
      </c>
      <c r="I49" s="1011"/>
      <c r="J49" s="1012"/>
      <c r="K49" s="1078"/>
      <c r="L49" s="1079"/>
      <c r="M49" s="1073"/>
      <c r="N49" s="1073"/>
      <c r="O49" s="1073"/>
      <c r="P49" s="1039"/>
      <c r="Q49" s="1075">
        <v>28551400</v>
      </c>
      <c r="R49" s="1075"/>
      <c r="S49" s="1038"/>
      <c r="T49" s="1073"/>
      <c r="U49" s="1073"/>
      <c r="V49" s="1073"/>
      <c r="W49" s="1012"/>
      <c r="X49" s="1012">
        <f t="shared" si="15"/>
        <v>0</v>
      </c>
      <c r="Y49" s="1012"/>
      <c r="Z49" s="1038"/>
    </row>
    <row r="50" spans="1:26" ht="48.75" customHeight="1" thickBot="1">
      <c r="A50" s="1032">
        <v>14</v>
      </c>
      <c r="B50" s="1076" t="s">
        <v>712</v>
      </c>
      <c r="C50" s="1077"/>
      <c r="D50" s="1011"/>
      <c r="E50" s="1011"/>
      <c r="F50" s="1011"/>
      <c r="G50" s="1011"/>
      <c r="H50" s="1036">
        <f>50000+13500+3661417+988582+70000+18900</f>
        <v>4802399</v>
      </c>
      <c r="I50" s="1011"/>
      <c r="J50" s="1012"/>
      <c r="K50" s="1078"/>
      <c r="L50" s="1079"/>
      <c r="M50" s="1073"/>
      <c r="N50" s="1073"/>
      <c r="O50" s="1073"/>
      <c r="P50" s="1039"/>
      <c r="Q50" s="1075">
        <v>4802399</v>
      </c>
      <c r="R50" s="1075"/>
      <c r="S50" s="1038"/>
      <c r="T50" s="1073"/>
      <c r="U50" s="1073"/>
      <c r="V50" s="1073"/>
      <c r="W50" s="1012"/>
      <c r="X50" s="1012">
        <f t="shared" si="15"/>
        <v>0</v>
      </c>
      <c r="Y50" s="1012"/>
      <c r="Z50" s="1038"/>
    </row>
    <row r="51" spans="1:26" ht="29.25" customHeight="1" hidden="1" thickBot="1">
      <c r="A51" s="1080"/>
      <c r="B51" s="1081"/>
      <c r="C51" s="1044" t="s">
        <v>207</v>
      </c>
      <c r="D51" s="1012"/>
      <c r="E51" s="1012"/>
      <c r="F51" s="1012"/>
      <c r="G51" s="1012"/>
      <c r="H51" s="1012"/>
      <c r="I51" s="1012"/>
      <c r="J51" s="1012"/>
      <c r="K51" s="1012"/>
      <c r="L51" s="1012"/>
      <c r="M51" s="1073"/>
      <c r="N51" s="1073"/>
      <c r="O51" s="1073"/>
      <c r="P51" s="1039"/>
      <c r="Q51" s="1075"/>
      <c r="R51" s="1075"/>
      <c r="S51" s="1038" t="e">
        <f>P51/N51</f>
        <v>#DIV/0!</v>
      </c>
      <c r="T51" s="1073"/>
      <c r="U51" s="1073"/>
      <c r="V51" s="1073"/>
      <c r="W51" s="1012">
        <f>G51-P51</f>
        <v>0</v>
      </c>
      <c r="X51" s="1012">
        <f t="shared" si="15"/>
        <v>0</v>
      </c>
      <c r="Y51" s="1012">
        <f>J51-R51</f>
        <v>0</v>
      </c>
      <c r="Z51" s="1038" t="e">
        <f>W51/U51</f>
        <v>#DIV/0!</v>
      </c>
    </row>
    <row r="52" spans="1:26" ht="29.25" customHeight="1" thickBot="1">
      <c r="A52" s="1222" t="s">
        <v>1</v>
      </c>
      <c r="B52" s="1223"/>
      <c r="C52" s="1020"/>
      <c r="D52" s="1052">
        <f aca="true" t="shared" si="16" ref="D52:K52">SUM(D37:D51)</f>
        <v>75804348</v>
      </c>
      <c r="E52" s="1052">
        <f t="shared" si="16"/>
        <v>75804348</v>
      </c>
      <c r="F52" s="1052">
        <f t="shared" si="16"/>
        <v>75804348</v>
      </c>
      <c r="G52" s="1052">
        <f t="shared" si="16"/>
        <v>151989948</v>
      </c>
      <c r="H52" s="1053">
        <f t="shared" si="16"/>
        <v>193651237</v>
      </c>
      <c r="I52" s="1052">
        <f t="shared" si="16"/>
        <v>58370171</v>
      </c>
      <c r="J52" s="1052">
        <f t="shared" si="16"/>
        <v>15636404</v>
      </c>
      <c r="K52" s="1052">
        <f t="shared" si="16"/>
        <v>74006575</v>
      </c>
      <c r="L52" s="1052"/>
      <c r="M52" s="1052">
        <f aca="true" t="shared" si="17" ref="M52:R52">SUM(M37:M51)</f>
        <v>19293132</v>
      </c>
      <c r="N52" s="1052">
        <f>SUM(N37:N51)</f>
        <v>19293132</v>
      </c>
      <c r="O52" s="1052">
        <f>SUM(O37:O51)</f>
        <v>19293132</v>
      </c>
      <c r="P52" s="1054">
        <f t="shared" si="17"/>
        <v>95478732</v>
      </c>
      <c r="Q52" s="1054">
        <f t="shared" si="17"/>
        <v>128832531</v>
      </c>
      <c r="R52" s="1054">
        <f t="shared" si="17"/>
        <v>0</v>
      </c>
      <c r="S52" s="1056">
        <f>Q52/P52</f>
        <v>1.3493322366283624</v>
      </c>
      <c r="T52" s="1052">
        <f aca="true" t="shared" si="18" ref="T52:Y52">SUM(T37:T51)</f>
        <v>56511216</v>
      </c>
      <c r="U52" s="1052">
        <f>SUM(U37:U51)</f>
        <v>56511216</v>
      </c>
      <c r="V52" s="1052">
        <f>SUM(V37:V51)</f>
        <v>56511216</v>
      </c>
      <c r="W52" s="1052">
        <f t="shared" si="18"/>
        <v>56511216</v>
      </c>
      <c r="X52" s="1052">
        <f t="shared" si="18"/>
        <v>64818706</v>
      </c>
      <c r="Y52" s="1054">
        <f t="shared" si="18"/>
        <v>14277681</v>
      </c>
      <c r="Z52" s="1056">
        <f>X52/W52</f>
        <v>1.1470060385888705</v>
      </c>
    </row>
    <row r="53" ht="15.75">
      <c r="D53" s="1059"/>
    </row>
    <row r="54" spans="4:20" ht="12.75">
      <c r="D54" s="1014" t="str">
        <f>IF(M52+T52=D52," ","HIBA-NEM EGYENLŐ")</f>
        <v> </v>
      </c>
      <c r="M54" s="1057"/>
      <c r="N54" s="1057"/>
      <c r="O54" s="1057"/>
      <c r="P54" s="1057"/>
      <c r="Q54" s="1057"/>
      <c r="R54" s="1057"/>
      <c r="S54" s="1057"/>
      <c r="T54" s="1057"/>
    </row>
    <row r="55" ht="12.75">
      <c r="W55" s="1057"/>
    </row>
  </sheetData>
  <sheetProtection/>
  <mergeCells count="10">
    <mergeCell ref="D35:K35"/>
    <mergeCell ref="M35:S35"/>
    <mergeCell ref="T35:Z35"/>
    <mergeCell ref="A52:B52"/>
    <mergeCell ref="A1:T1"/>
    <mergeCell ref="D3:K3"/>
    <mergeCell ref="M3:S3"/>
    <mergeCell ref="T3:Z3"/>
    <mergeCell ref="A30:B30"/>
    <mergeCell ref="A33:T33"/>
  </mergeCells>
  <printOptions horizontalCentered="1"/>
  <pageMargins left="0.5905511811023623" right="0.5905511811023623" top="1.0901041666666667" bottom="0.7874015748031497" header="0.5118110236220472" footer="0.31496062992125984"/>
  <pageSetup fitToHeight="1" fitToWidth="1" horizontalDpi="300" verticalDpi="300" orientation="portrait" paperSize="9" scale="53" r:id="rId1"/>
  <headerFooter alignWithMargins="0">
    <oddHeader xml:space="preserve">&amp;CÖNKORMÁNYZATI BERUHÁZÁSOK ÉS FELÚJÍTÁSOK
2019.
&amp;R&amp;"Arial CE,Félkövér dőlt"7/a számú melléklet </oddHead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Reni</cp:lastModifiedBy>
  <cp:lastPrinted>2020-03-10T14:00:43Z</cp:lastPrinted>
  <dcterms:created xsi:type="dcterms:W3CDTF">2000-01-07T08:44:52Z</dcterms:created>
  <dcterms:modified xsi:type="dcterms:W3CDTF">2020-03-11T10:56:46Z</dcterms:modified>
  <cp:category/>
  <cp:version/>
  <cp:contentType/>
  <cp:contentStatus/>
</cp:coreProperties>
</file>